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Z:\EEB\2 aktiv\28.400 Beratung Kommunen\00_28.401 PM-kommunale\KGA\Update 2025\"/>
    </mc:Choice>
  </mc:AlternateContent>
  <bookViews>
    <workbookView xWindow="60135" yWindow="0" windowWidth="19410" windowHeight="20985" tabRatio="741" activeTab="2"/>
  </bookViews>
  <sheets>
    <sheet name="Deckblatt" sheetId="20" r:id="rId1"/>
    <sheet name="Punktevergabe" sheetId="5" r:id="rId2"/>
    <sheet name="A 1.3" sheetId="7" r:id="rId3"/>
    <sheet name="A 1.4" sheetId="32" r:id="rId4"/>
    <sheet name="A 1.5" sheetId="21" r:id="rId5"/>
    <sheet name="Objektabelle" sheetId="22" state="hidden" r:id="rId6"/>
    <sheet name="Gemeindetabelle" sheetId="23" state="hidden" r:id="rId7"/>
    <sheet name="A 1.6" sheetId="37" r:id="rId8"/>
    <sheet name="A 1.7" sheetId="42" r:id="rId9"/>
    <sheet name="A 1.8" sheetId="43" r:id="rId10"/>
    <sheet name="B1 " sheetId="16" r:id="rId11"/>
    <sheet name="B1 Graphik" sheetId="28" state="hidden" r:id="rId12"/>
    <sheet name="B1b " sheetId="17" r:id="rId13"/>
    <sheet name="B1b Graphik" sheetId="39" state="hidden" r:id="rId14"/>
    <sheet name="B 1.5" sheetId="24" r:id="rId15"/>
    <sheet name="C 1.1" sheetId="9" r:id="rId16"/>
    <sheet name="C 1.2" sheetId="35" r:id="rId17"/>
    <sheet name="C 2.1" sheetId="10" r:id="rId18"/>
    <sheet name="D 1.1" sheetId="11" r:id="rId19"/>
    <sheet name="D 1.2" sheetId="38" r:id="rId20"/>
    <sheet name="D 1.3" sheetId="44" r:id="rId21"/>
    <sheet name="D 2.1" sheetId="31" r:id="rId22"/>
    <sheet name="D 2.2" sheetId="30" r:id="rId23"/>
  </sheets>
  <definedNames>
    <definedName name="_xlnm._FilterDatabase" localSheetId="6" hidden="1">Gemeindetabelle!$A$1:$B$111</definedName>
    <definedName name="Z_900BB99C_5F12_4578_9AB6_A71D1D7EE1B7_.wvu.PrintArea" localSheetId="1" hidden="1">Punktevergabe!$B$1:$G$53</definedName>
    <definedName name="Z_900BB99C_5F12_4578_9AB6_A71D1D7EE1B7_.wvu.PrintTitles" localSheetId="1" hidden="1">Punktevergabe!$1:$10</definedName>
    <definedName name="Z_900BB99C_5F12_4578_9AB6_A71D1D7EE1B7_.wvu.Rows" localSheetId="1" hidden="1">Punktevergabe!$8:$8</definedName>
  </definedNames>
  <calcPr calcId="162913" iterate="1" iterateCount="1"/>
  <customWorkbookViews>
    <customWorkbookView name="Martin Brunn - Persönliche Ansicht" guid="{900BB99C-5F12-4578-9AB6-A71D1D7EE1B7}" mergeInterval="0" personalView="1" maximized="1" windowWidth="1396"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7" l="1"/>
  <c r="B6" i="31"/>
  <c r="B5" i="30"/>
  <c r="B7" i="31" l="1"/>
  <c r="G27" i="17"/>
  <c r="L27" i="17" l="1"/>
  <c r="L25" i="17"/>
  <c r="O35" i="32" l="1"/>
  <c r="O36" i="32" s="1"/>
  <c r="AA135" i="39" l="1"/>
  <c r="AA136" i="39"/>
  <c r="AA137" i="39"/>
  <c r="AA138" i="39"/>
  <c r="AA139" i="39"/>
  <c r="AA140" i="39"/>
  <c r="AA141" i="39"/>
  <c r="AA142" i="39"/>
  <c r="AA143" i="39"/>
  <c r="AA144" i="39"/>
  <c r="AA145" i="39"/>
  <c r="D23" i="7"/>
  <c r="G52" i="5" l="1"/>
  <c r="C6" i="44"/>
  <c r="G49" i="5" s="1"/>
  <c r="C6" i="38"/>
  <c r="G48" i="5" s="1"/>
  <c r="D21" i="11"/>
  <c r="G47" i="5" s="1"/>
  <c r="D14" i="10"/>
  <c r="G43" i="5" s="1"/>
  <c r="G42" i="5" s="1"/>
  <c r="C6" i="35"/>
  <c r="G41" i="5" s="1"/>
  <c r="C11" i="9"/>
  <c r="G40" i="5" s="1"/>
  <c r="H5" i="38"/>
  <c r="E30" i="32"/>
  <c r="D28" i="21"/>
  <c r="D31" i="21"/>
  <c r="D32" i="21"/>
  <c r="B23" i="21"/>
  <c r="B22" i="21"/>
  <c r="E14" i="42"/>
  <c r="E9" i="42"/>
  <c r="E11" i="42"/>
  <c r="E7" i="42"/>
  <c r="D7" i="37"/>
  <c r="G17" i="5" s="1"/>
  <c r="E15" i="32"/>
  <c r="E37" i="32"/>
  <c r="E18" i="32"/>
  <c r="E9" i="32"/>
  <c r="E26" i="32"/>
  <c r="B15" i="43"/>
  <c r="G46" i="5" l="1"/>
  <c r="E15" i="42"/>
  <c r="G18" i="5" s="1"/>
  <c r="D33" i="21"/>
  <c r="D34" i="21" s="1"/>
  <c r="D35" i="21" s="1"/>
  <c r="G16" i="5" s="1"/>
  <c r="E38" i="32"/>
  <c r="G15" i="5" s="1"/>
  <c r="B8" i="31"/>
  <c r="G51" i="5" s="1"/>
  <c r="G50" i="5" s="1"/>
  <c r="G39" i="5"/>
  <c r="G38" i="5" s="1"/>
  <c r="G45" i="5" l="1"/>
  <c r="T1" i="5"/>
  <c r="O1" i="5"/>
  <c r="G5" i="17" l="1"/>
  <c r="B10" i="24" l="1"/>
  <c r="B9" i="24"/>
  <c r="F26" i="21" l="1"/>
  <c r="G26" i="21" s="1"/>
  <c r="B15" i="21" l="1"/>
  <c r="G9" i="17" l="1"/>
  <c r="N13" i="21"/>
  <c r="O13" i="21"/>
  <c r="P13" i="21"/>
  <c r="Q13" i="21"/>
  <c r="R13" i="21"/>
  <c r="S13" i="21"/>
  <c r="G5" i="32" l="1"/>
  <c r="G15" i="32" s="1"/>
  <c r="G10" i="16"/>
  <c r="D15" i="32" l="1"/>
  <c r="H12" i="32"/>
  <c r="H10" i="32"/>
  <c r="G10" i="32"/>
  <c r="G12" i="32"/>
  <c r="D13" i="32"/>
  <c r="D11" i="32"/>
  <c r="D10" i="32"/>
  <c r="D12" i="32"/>
  <c r="L10" i="16"/>
  <c r="B9" i="16"/>
  <c r="L9" i="16" s="1"/>
  <c r="X76" i="28"/>
  <c r="R76" i="28"/>
  <c r="J76" i="28"/>
  <c r="G76" i="28"/>
  <c r="G9" i="16" l="1"/>
  <c r="D14" i="32" l="1"/>
  <c r="D6" i="43"/>
  <c r="G19" i="5" s="1"/>
  <c r="L5" i="9"/>
  <c r="L6" i="9" s="1"/>
  <c r="D8" i="9"/>
  <c r="D7" i="9"/>
  <c r="D6" i="9"/>
  <c r="D5" i="9"/>
  <c r="G27" i="21" l="1"/>
  <c r="AD195" i="39" l="1"/>
  <c r="AD196" i="39"/>
  <c r="AD197" i="39"/>
  <c r="AD198" i="39"/>
  <c r="AD199" i="39"/>
  <c r="AD200" i="39"/>
  <c r="AD201" i="39"/>
  <c r="AD202" i="39"/>
  <c r="AD203" i="39"/>
  <c r="AD204" i="39"/>
  <c r="AD205" i="39"/>
  <c r="AD206" i="39"/>
  <c r="AD207" i="39"/>
  <c r="AD208" i="39"/>
  <c r="AD209" i="39"/>
  <c r="AD210" i="39"/>
  <c r="AD211" i="39"/>
  <c r="AD212" i="39"/>
  <c r="AD213" i="39"/>
  <c r="AD214" i="39"/>
  <c r="AD215" i="39"/>
  <c r="AD216" i="39"/>
  <c r="AD217" i="39"/>
  <c r="AD218" i="39"/>
  <c r="AD219" i="39"/>
  <c r="AD220" i="39"/>
  <c r="AD221" i="39"/>
  <c r="AD222" i="39"/>
  <c r="AD223" i="39"/>
  <c r="AD224" i="39"/>
  <c r="AD225" i="39"/>
  <c r="AD226" i="39"/>
  <c r="AD227" i="39"/>
  <c r="AD228" i="39"/>
  <c r="AD229" i="39"/>
  <c r="AD230" i="39"/>
  <c r="AD231" i="39"/>
  <c r="AD232" i="39"/>
  <c r="AD233" i="39"/>
  <c r="AD234" i="39"/>
  <c r="AD235" i="39"/>
  <c r="AD236" i="39"/>
  <c r="AD237" i="39"/>
  <c r="AD238" i="39"/>
  <c r="AD239" i="39"/>
  <c r="AD240" i="39"/>
  <c r="AD241" i="39"/>
  <c r="AD242" i="39"/>
  <c r="AD243" i="39"/>
  <c r="AD244" i="39"/>
  <c r="M195" i="39"/>
  <c r="M196" i="39"/>
  <c r="M197" i="39"/>
  <c r="M198" i="39"/>
  <c r="M199" i="39"/>
  <c r="M200" i="39"/>
  <c r="M201" i="39"/>
  <c r="M202" i="39"/>
  <c r="M203" i="39"/>
  <c r="M204" i="39"/>
  <c r="M205" i="39"/>
  <c r="M206" i="39"/>
  <c r="M207" i="39"/>
  <c r="M208" i="39"/>
  <c r="M209" i="39"/>
  <c r="M210" i="39"/>
  <c r="M211" i="39"/>
  <c r="M212" i="39"/>
  <c r="M213" i="39"/>
  <c r="M214" i="39"/>
  <c r="M215" i="39"/>
  <c r="M216" i="39"/>
  <c r="M217" i="39"/>
  <c r="M218" i="39"/>
  <c r="M219" i="39"/>
  <c r="M220" i="39"/>
  <c r="M221" i="39"/>
  <c r="M222" i="39"/>
  <c r="M223" i="39"/>
  <c r="M224" i="39"/>
  <c r="M225" i="39"/>
  <c r="M226" i="39"/>
  <c r="M227" i="39"/>
  <c r="M228" i="39"/>
  <c r="M229" i="39"/>
  <c r="M230" i="39"/>
  <c r="M231" i="39"/>
  <c r="M232" i="39"/>
  <c r="M233" i="39"/>
  <c r="M234" i="39"/>
  <c r="M235" i="39"/>
  <c r="M236" i="39"/>
  <c r="M237" i="39"/>
  <c r="M238" i="39"/>
  <c r="M239" i="39"/>
  <c r="M240" i="39"/>
  <c r="M241" i="39"/>
  <c r="M242" i="39"/>
  <c r="M243" i="39"/>
  <c r="M244" i="39"/>
  <c r="AD194" i="39"/>
  <c r="AD135" i="39"/>
  <c r="AD136" i="39"/>
  <c r="AD137" i="39"/>
  <c r="AD138" i="39"/>
  <c r="AD139" i="39"/>
  <c r="AD140" i="39"/>
  <c r="AD141" i="39"/>
  <c r="AD142" i="39"/>
  <c r="AD143" i="39"/>
  <c r="AD144" i="39"/>
  <c r="AD145" i="39"/>
  <c r="AD146" i="39"/>
  <c r="AD147" i="39"/>
  <c r="AD148" i="39"/>
  <c r="AD149" i="39"/>
  <c r="AD150" i="39"/>
  <c r="AD151" i="39"/>
  <c r="AD152" i="39"/>
  <c r="AD153" i="39"/>
  <c r="AD154" i="39"/>
  <c r="AD155" i="39"/>
  <c r="AD156" i="39"/>
  <c r="AD157" i="39"/>
  <c r="AD158" i="39"/>
  <c r="AD159" i="39"/>
  <c r="AD160" i="39"/>
  <c r="AD161" i="39"/>
  <c r="AD162" i="39"/>
  <c r="AD163" i="39"/>
  <c r="AD164" i="39"/>
  <c r="AD165" i="39"/>
  <c r="AD166" i="39"/>
  <c r="AD167" i="39"/>
  <c r="AD168" i="39"/>
  <c r="AD169" i="39"/>
  <c r="AD170" i="39"/>
  <c r="AD171" i="39"/>
  <c r="AD172" i="39"/>
  <c r="AD173" i="39"/>
  <c r="AD174" i="39"/>
  <c r="AD175" i="39"/>
  <c r="AD176" i="39"/>
  <c r="AD177" i="39"/>
  <c r="AD178" i="39"/>
  <c r="AD179" i="39"/>
  <c r="AD180" i="39"/>
  <c r="AD181" i="39"/>
  <c r="AD182" i="39"/>
  <c r="AD183" i="39"/>
  <c r="AD184" i="39"/>
  <c r="AD185" i="39"/>
  <c r="AD186" i="39"/>
  <c r="AD187" i="39"/>
  <c r="AD188" i="39"/>
  <c r="AD189" i="39"/>
  <c r="AD190" i="39"/>
  <c r="AD191" i="39"/>
  <c r="AD192" i="39"/>
  <c r="AD193" i="39"/>
  <c r="M135" i="39"/>
  <c r="M136" i="39"/>
  <c r="M137" i="39"/>
  <c r="M138" i="39"/>
  <c r="M139" i="39"/>
  <c r="M140" i="39"/>
  <c r="M141" i="39"/>
  <c r="M142" i="39"/>
  <c r="M143" i="39"/>
  <c r="M144" i="39"/>
  <c r="M145" i="39"/>
  <c r="M146" i="39"/>
  <c r="M147" i="39"/>
  <c r="M148" i="39"/>
  <c r="M149" i="39"/>
  <c r="M150" i="39"/>
  <c r="M151" i="39"/>
  <c r="M152" i="39"/>
  <c r="M153" i="39"/>
  <c r="M154" i="39"/>
  <c r="M155" i="39"/>
  <c r="M156" i="39"/>
  <c r="M157" i="39"/>
  <c r="M158" i="39"/>
  <c r="M159" i="39"/>
  <c r="M160" i="39"/>
  <c r="M161" i="39"/>
  <c r="M162" i="39"/>
  <c r="M163" i="39"/>
  <c r="M164" i="39"/>
  <c r="M165" i="39"/>
  <c r="M166" i="39"/>
  <c r="M167" i="39"/>
  <c r="M168" i="39"/>
  <c r="M169" i="39"/>
  <c r="M170" i="39"/>
  <c r="M171" i="39"/>
  <c r="M172" i="39"/>
  <c r="M173" i="39"/>
  <c r="M174" i="39"/>
  <c r="M175" i="39"/>
  <c r="M176" i="39"/>
  <c r="M177" i="39"/>
  <c r="M178" i="39"/>
  <c r="M179" i="39"/>
  <c r="M180" i="39"/>
  <c r="M181" i="39"/>
  <c r="M182" i="39"/>
  <c r="M183" i="39"/>
  <c r="M184" i="39"/>
  <c r="M185" i="39"/>
  <c r="M186" i="39"/>
  <c r="M187" i="39"/>
  <c r="M188" i="39"/>
  <c r="M189" i="39"/>
  <c r="M190" i="39"/>
  <c r="M191" i="39"/>
  <c r="M192" i="39"/>
  <c r="M193" i="39"/>
  <c r="M194" i="39"/>
  <c r="U145" i="39"/>
  <c r="U146" i="39"/>
  <c r="U147" i="39"/>
  <c r="U148" i="39"/>
  <c r="U149" i="39"/>
  <c r="U150" i="39"/>
  <c r="U151" i="39"/>
  <c r="U152" i="39"/>
  <c r="U153" i="39"/>
  <c r="U154" i="39"/>
  <c r="U155" i="39"/>
  <c r="U156" i="39"/>
  <c r="U157" i="39"/>
  <c r="U158" i="39"/>
  <c r="U159" i="39"/>
  <c r="U160" i="39"/>
  <c r="U161" i="39"/>
  <c r="U162" i="39"/>
  <c r="U163" i="39"/>
  <c r="U164" i="39"/>
  <c r="U165" i="39"/>
  <c r="U166" i="39"/>
  <c r="U167"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AG115" i="39" l="1"/>
  <c r="AG116" i="39"/>
  <c r="AG117" i="39"/>
  <c r="AG118" i="39"/>
  <c r="AG119" i="39"/>
  <c r="AG120" i="39"/>
  <c r="AG121" i="39"/>
  <c r="AG122" i="39"/>
  <c r="AG123" i="39"/>
  <c r="AG124" i="39"/>
  <c r="P115" i="39"/>
  <c r="P116" i="39"/>
  <c r="P117" i="39"/>
  <c r="P118" i="39"/>
  <c r="P119" i="39"/>
  <c r="P120" i="39"/>
  <c r="P121" i="39"/>
  <c r="P122" i="39"/>
  <c r="P123" i="39"/>
  <c r="P124" i="39"/>
  <c r="J125" i="39" l="1"/>
  <c r="J126" i="39"/>
  <c r="J127" i="39"/>
  <c r="J128" i="39"/>
  <c r="J129" i="39"/>
  <c r="J130" i="39"/>
  <c r="J131" i="39"/>
  <c r="J132" i="39"/>
  <c r="J133" i="39"/>
  <c r="J134" i="39"/>
  <c r="AA125" i="39"/>
  <c r="AA126" i="39"/>
  <c r="AA127" i="39"/>
  <c r="AA128" i="39"/>
  <c r="AA129" i="39"/>
  <c r="AA130" i="39"/>
  <c r="AA131" i="39"/>
  <c r="AA132" i="39"/>
  <c r="AA133" i="39"/>
  <c r="AA134"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G13" i="17" l="1"/>
  <c r="G12" i="17"/>
  <c r="G17" i="17"/>
  <c r="L16" i="17"/>
  <c r="G15" i="17"/>
  <c r="AG95" i="39" l="1"/>
  <c r="AG96" i="39"/>
  <c r="AG97" i="39"/>
  <c r="AG98" i="39"/>
  <c r="AG99" i="39"/>
  <c r="AG100" i="39"/>
  <c r="AG101" i="39"/>
  <c r="AG102" i="39"/>
  <c r="AG103" i="39"/>
  <c r="AG104" i="39"/>
  <c r="AG105" i="39"/>
  <c r="AG106" i="39"/>
  <c r="AG107" i="39"/>
  <c r="AG108" i="39"/>
  <c r="AG109" i="39"/>
  <c r="AG110" i="39"/>
  <c r="AG111" i="39"/>
  <c r="AG112" i="39"/>
  <c r="AG113" i="39"/>
  <c r="AG114" i="39"/>
  <c r="AG94" i="39"/>
  <c r="P95" i="39"/>
  <c r="P96" i="39"/>
  <c r="P97" i="39"/>
  <c r="P98" i="39"/>
  <c r="P99" i="39"/>
  <c r="P100" i="39"/>
  <c r="P101" i="39"/>
  <c r="P102" i="39"/>
  <c r="P103" i="39"/>
  <c r="P104" i="39"/>
  <c r="P105" i="39"/>
  <c r="P106" i="39"/>
  <c r="P107" i="39"/>
  <c r="P108" i="39"/>
  <c r="P109" i="39"/>
  <c r="P110" i="39"/>
  <c r="P111" i="39"/>
  <c r="P112" i="39"/>
  <c r="P113" i="39"/>
  <c r="P114" i="39"/>
  <c r="P94" i="39"/>
  <c r="AD95" i="39"/>
  <c r="AD96" i="39"/>
  <c r="AD97" i="39"/>
  <c r="AD98" i="39"/>
  <c r="AD99" i="39"/>
  <c r="AD100" i="39"/>
  <c r="AD101" i="39"/>
  <c r="AD102" i="39"/>
  <c r="AD103" i="39"/>
  <c r="AD104" i="39"/>
  <c r="AD105" i="39"/>
  <c r="AD106" i="39"/>
  <c r="AD107" i="39"/>
  <c r="AD108" i="39"/>
  <c r="AD109" i="39"/>
  <c r="AD110" i="39"/>
  <c r="AD111" i="39"/>
  <c r="AD112" i="39"/>
  <c r="AD113" i="39"/>
  <c r="AD114" i="39"/>
  <c r="AD115" i="39"/>
  <c r="AD116" i="39"/>
  <c r="AD117" i="39"/>
  <c r="AD118" i="39"/>
  <c r="AD119" i="39"/>
  <c r="AD120" i="39"/>
  <c r="AD121" i="39"/>
  <c r="AD122" i="39"/>
  <c r="AD123" i="39"/>
  <c r="AD124" i="39"/>
  <c r="AD125" i="39"/>
  <c r="AD126" i="39"/>
  <c r="AD127" i="39"/>
  <c r="AD128" i="39"/>
  <c r="AD129" i="39"/>
  <c r="AD130" i="39"/>
  <c r="AD131" i="39"/>
  <c r="AD132" i="39"/>
  <c r="AD133" i="39"/>
  <c r="AD134" i="39"/>
  <c r="M95" i="39"/>
  <c r="M96" i="39"/>
  <c r="M97" i="39"/>
  <c r="M98" i="39"/>
  <c r="M99" i="39"/>
  <c r="M100" i="39"/>
  <c r="M101" i="39"/>
  <c r="M102" i="39"/>
  <c r="M103" i="39"/>
  <c r="M104" i="39"/>
  <c r="M105" i="39"/>
  <c r="M106" i="39"/>
  <c r="M107" i="39"/>
  <c r="M108" i="39"/>
  <c r="M109" i="39"/>
  <c r="M110" i="39"/>
  <c r="M111" i="39"/>
  <c r="M112" i="39"/>
  <c r="M113" i="39"/>
  <c r="M114" i="39"/>
  <c r="M115" i="39"/>
  <c r="M116" i="39"/>
  <c r="M117" i="39"/>
  <c r="M118" i="39"/>
  <c r="M119" i="39"/>
  <c r="M120" i="39"/>
  <c r="M121" i="39"/>
  <c r="M122" i="39"/>
  <c r="M123" i="39"/>
  <c r="M124" i="39"/>
  <c r="M125" i="39"/>
  <c r="M126" i="39"/>
  <c r="M127" i="39"/>
  <c r="M128" i="39"/>
  <c r="M129" i="39"/>
  <c r="M130" i="39"/>
  <c r="M131" i="39"/>
  <c r="M132" i="39"/>
  <c r="M133" i="39"/>
  <c r="M134" i="39"/>
  <c r="AD94" i="39"/>
  <c r="M94" i="39"/>
  <c r="AA119" i="39"/>
  <c r="AA120" i="39"/>
  <c r="AA121" i="39"/>
  <c r="AA122" i="39"/>
  <c r="AA123" i="39"/>
  <c r="AA124" i="39"/>
  <c r="J119" i="39"/>
  <c r="J120" i="39"/>
  <c r="J121" i="39"/>
  <c r="J122" i="39"/>
  <c r="J123" i="39"/>
  <c r="J124" i="39"/>
  <c r="AA95" i="39"/>
  <c r="AA96" i="39"/>
  <c r="AA97" i="39"/>
  <c r="AA98" i="39"/>
  <c r="AA99" i="39"/>
  <c r="AA100" i="39"/>
  <c r="AA101" i="39"/>
  <c r="AA102" i="39"/>
  <c r="AA103" i="39"/>
  <c r="AA104" i="39"/>
  <c r="AA105" i="39"/>
  <c r="AA106" i="39"/>
  <c r="AA107" i="39"/>
  <c r="AA108" i="39"/>
  <c r="AA109" i="39"/>
  <c r="AA110" i="39"/>
  <c r="AA111" i="39"/>
  <c r="AA112" i="39"/>
  <c r="AA113" i="39"/>
  <c r="AA114" i="39"/>
  <c r="AA115" i="39"/>
  <c r="AA116" i="39"/>
  <c r="AA117" i="39"/>
  <c r="AA118" i="39"/>
  <c r="J95" i="39"/>
  <c r="J96" i="39"/>
  <c r="J97" i="39"/>
  <c r="J98" i="39"/>
  <c r="J99" i="39"/>
  <c r="J100" i="39"/>
  <c r="J101" i="39"/>
  <c r="J102" i="39"/>
  <c r="J103" i="39"/>
  <c r="J104" i="39"/>
  <c r="J105" i="39"/>
  <c r="J106" i="39"/>
  <c r="J107" i="39"/>
  <c r="J108" i="39"/>
  <c r="J109" i="39"/>
  <c r="J110" i="39"/>
  <c r="J111" i="39"/>
  <c r="J112" i="39"/>
  <c r="J113" i="39"/>
  <c r="J114" i="39"/>
  <c r="J115" i="39"/>
  <c r="J116" i="39"/>
  <c r="J117" i="39"/>
  <c r="J118" i="39"/>
  <c r="AA94" i="39"/>
  <c r="J94" i="39"/>
  <c r="G121" i="39"/>
  <c r="G122" i="39"/>
  <c r="G123" i="39"/>
  <c r="G124" i="39"/>
  <c r="G125" i="39"/>
  <c r="G126" i="39"/>
  <c r="G127" i="39"/>
  <c r="G128" i="39"/>
  <c r="G129" i="39"/>
  <c r="X121" i="39"/>
  <c r="X122" i="39"/>
  <c r="X123" i="39"/>
  <c r="X124" i="39"/>
  <c r="X125" i="39"/>
  <c r="X126" i="39"/>
  <c r="X127" i="39"/>
  <c r="X128" i="39"/>
  <c r="X129" i="39"/>
  <c r="X95" i="39"/>
  <c r="X96" i="39"/>
  <c r="X97" i="39"/>
  <c r="X98" i="39"/>
  <c r="X99" i="39"/>
  <c r="X100" i="39"/>
  <c r="X101" i="39"/>
  <c r="X102" i="39"/>
  <c r="X103" i="39"/>
  <c r="X104" i="39"/>
  <c r="X105" i="39"/>
  <c r="X106" i="39"/>
  <c r="X107" i="39"/>
  <c r="X108" i="39"/>
  <c r="X109" i="39"/>
  <c r="X110" i="39"/>
  <c r="X111" i="39"/>
  <c r="X112" i="39"/>
  <c r="X113" i="39"/>
  <c r="X114" i="39"/>
  <c r="X115" i="39"/>
  <c r="X116" i="39"/>
  <c r="X117" i="39"/>
  <c r="X118" i="39"/>
  <c r="X119" i="39"/>
  <c r="X120" i="39"/>
  <c r="X94" i="39"/>
  <c r="G95" i="39"/>
  <c r="G96" i="39"/>
  <c r="G97" i="39"/>
  <c r="G98" i="39"/>
  <c r="G99" i="39"/>
  <c r="G100" i="39"/>
  <c r="G101" i="39"/>
  <c r="G102" i="39"/>
  <c r="G103" i="39"/>
  <c r="G104" i="39"/>
  <c r="G105" i="39"/>
  <c r="G106" i="39"/>
  <c r="G107" i="39"/>
  <c r="G108" i="39"/>
  <c r="G109" i="39"/>
  <c r="G110" i="39"/>
  <c r="G111" i="39"/>
  <c r="G112" i="39"/>
  <c r="G113" i="39"/>
  <c r="G114" i="39"/>
  <c r="G115" i="39"/>
  <c r="G116" i="39"/>
  <c r="G117" i="39"/>
  <c r="G118" i="39"/>
  <c r="G119" i="39"/>
  <c r="G120" i="39"/>
  <c r="G94" i="39"/>
  <c r="U95" i="39"/>
  <c r="U96" i="39"/>
  <c r="U97" i="39"/>
  <c r="U98" i="39"/>
  <c r="U99" i="39"/>
  <c r="U100" i="39"/>
  <c r="U101" i="39"/>
  <c r="U102" i="39"/>
  <c r="U103" i="39"/>
  <c r="U104" i="39"/>
  <c r="U105" i="39"/>
  <c r="U106" i="39"/>
  <c r="U107" i="39"/>
  <c r="U108" i="39"/>
  <c r="U109" i="39"/>
  <c r="U110" i="39"/>
  <c r="U111" i="39"/>
  <c r="U112" i="39"/>
  <c r="U113" i="39"/>
  <c r="U114" i="39"/>
  <c r="U115" i="39"/>
  <c r="U116" i="39"/>
  <c r="U117" i="39"/>
  <c r="U118" i="39"/>
  <c r="U119" i="39"/>
  <c r="U120" i="39"/>
  <c r="U121" i="39"/>
  <c r="U122" i="39"/>
  <c r="U123" i="39"/>
  <c r="U124" i="39"/>
  <c r="U125" i="39"/>
  <c r="U126" i="39"/>
  <c r="U127" i="39"/>
  <c r="U128" i="39"/>
  <c r="U129" i="39"/>
  <c r="U130" i="39"/>
  <c r="U131" i="39"/>
  <c r="U132" i="39"/>
  <c r="U133" i="39"/>
  <c r="U134" i="39"/>
  <c r="U135" i="39"/>
  <c r="U136" i="39"/>
  <c r="U137" i="39"/>
  <c r="U138" i="39"/>
  <c r="U139" i="39"/>
  <c r="U140" i="39"/>
  <c r="U141" i="39"/>
  <c r="U142" i="39"/>
  <c r="U143" i="39"/>
  <c r="U144" i="39"/>
  <c r="U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94" i="39"/>
  <c r="AA105" i="28" l="1"/>
  <c r="AA106" i="28"/>
  <c r="AA107" i="28"/>
  <c r="AA108" i="28"/>
  <c r="AA109" i="28"/>
  <c r="AA110" i="28"/>
  <c r="AA111" i="28"/>
  <c r="AA112" i="28"/>
  <c r="AA113" i="28"/>
  <c r="AA114" i="28"/>
  <c r="AA115" i="28"/>
  <c r="AA116" i="28"/>
  <c r="AA117" i="28"/>
  <c r="AA118" i="28"/>
  <c r="AA119" i="28"/>
  <c r="AA120" i="28"/>
  <c r="AA121" i="28"/>
  <c r="AA122" i="28"/>
  <c r="AA123" i="28"/>
  <c r="AA124" i="28"/>
  <c r="AA125" i="28"/>
  <c r="AA126" i="28"/>
  <c r="AA127" i="28"/>
  <c r="AA128" i="28"/>
  <c r="AA129" i="28"/>
  <c r="AA130" i="28"/>
  <c r="AA131" i="28"/>
  <c r="AA132" i="28"/>
  <c r="AA133" i="28"/>
  <c r="AA134" i="28"/>
  <c r="AA135" i="28"/>
  <c r="AA136" i="28"/>
  <c r="AA137" i="28"/>
  <c r="AA138" i="28"/>
  <c r="AA139" i="28"/>
  <c r="AA140" i="28"/>
  <c r="AA141" i="28"/>
  <c r="AA142" i="28"/>
  <c r="AA143" i="28"/>
  <c r="AA144" i="28"/>
  <c r="AA145" i="28"/>
  <c r="AA146" i="28"/>
  <c r="AA147" i="28"/>
  <c r="AA148" i="28"/>
  <c r="AA149" i="28"/>
  <c r="AA150" i="28"/>
  <c r="AA151" i="28"/>
  <c r="AA152" i="28"/>
  <c r="AA153" i="28"/>
  <c r="AA154" i="28"/>
  <c r="AA155" i="28"/>
  <c r="AA156" i="28"/>
  <c r="AA157" i="28"/>
  <c r="AA158" i="28"/>
  <c r="AA159" i="28"/>
  <c r="AA160" i="28"/>
  <c r="AA161" i="28"/>
  <c r="AA162" i="28"/>
  <c r="AA163" i="28"/>
  <c r="AA164" i="28"/>
  <c r="AA165" i="28"/>
  <c r="AA166" i="28"/>
  <c r="AA167" i="28"/>
  <c r="AA168" i="28"/>
  <c r="AA169" i="28"/>
  <c r="AA170" i="28"/>
  <c r="AA171" i="28"/>
  <c r="AA172" i="28"/>
  <c r="AA173" i="28"/>
  <c r="AA174" i="28"/>
  <c r="AA175" i="28"/>
  <c r="AA176" i="28"/>
  <c r="M158" i="28"/>
  <c r="M159" i="28"/>
  <c r="M160" i="28"/>
  <c r="M161" i="28"/>
  <c r="M162" i="28"/>
  <c r="M163" i="28"/>
  <c r="M164" i="28"/>
  <c r="M165" i="28"/>
  <c r="M166" i="28"/>
  <c r="M167" i="28"/>
  <c r="M168" i="28"/>
  <c r="M169" i="28"/>
  <c r="M170" i="28"/>
  <c r="M171" i="28"/>
  <c r="M172" i="28"/>
  <c r="M173" i="28"/>
  <c r="M174" i="28"/>
  <c r="M175" i="28"/>
  <c r="M176" i="28"/>
  <c r="M138" i="28"/>
  <c r="M139" i="28"/>
  <c r="M140" i="28"/>
  <c r="M141" i="28"/>
  <c r="M142" i="28"/>
  <c r="M143" i="28"/>
  <c r="M144" i="28"/>
  <c r="M145" i="28"/>
  <c r="M146" i="28"/>
  <c r="M147" i="28"/>
  <c r="M148" i="28"/>
  <c r="M149" i="28"/>
  <c r="M150" i="28"/>
  <c r="M151" i="28"/>
  <c r="M152" i="28"/>
  <c r="M153" i="28"/>
  <c r="M154" i="28"/>
  <c r="M155" i="28"/>
  <c r="M156" i="28"/>
  <c r="M157" i="28"/>
  <c r="M105" i="28"/>
  <c r="M106" i="28"/>
  <c r="M107" i="28"/>
  <c r="M108" i="28"/>
  <c r="M109" i="28"/>
  <c r="M110" i="28"/>
  <c r="M111" i="28"/>
  <c r="M112" i="28"/>
  <c r="M113" i="28"/>
  <c r="M114" i="28"/>
  <c r="M115" i="28"/>
  <c r="M116" i="28"/>
  <c r="M117" i="28"/>
  <c r="M118" i="28"/>
  <c r="M119" i="28"/>
  <c r="M120" i="28"/>
  <c r="M121" i="28"/>
  <c r="M122" i="28"/>
  <c r="M123" i="28"/>
  <c r="M124" i="28"/>
  <c r="M125" i="28"/>
  <c r="M126" i="28"/>
  <c r="M127" i="28"/>
  <c r="M128" i="28"/>
  <c r="M129" i="28"/>
  <c r="M130" i="28"/>
  <c r="M131" i="28"/>
  <c r="M132" i="28"/>
  <c r="M133" i="28"/>
  <c r="M134" i="28"/>
  <c r="M135" i="28"/>
  <c r="M136" i="28"/>
  <c r="M137" i="28"/>
  <c r="X117" i="28"/>
  <c r="X118" i="28"/>
  <c r="J117" i="28"/>
  <c r="J118" i="28"/>
  <c r="R103" i="28"/>
  <c r="R104" i="28"/>
  <c r="R105" i="28"/>
  <c r="R106" i="28"/>
  <c r="R107" i="28"/>
  <c r="R108" i="28"/>
  <c r="R109" i="28"/>
  <c r="R110" i="28"/>
  <c r="R111" i="28"/>
  <c r="R112" i="28"/>
  <c r="R113" i="28"/>
  <c r="R114" i="28"/>
  <c r="R115" i="28"/>
  <c r="R116" i="28"/>
  <c r="R117" i="28"/>
  <c r="R118" i="28"/>
  <c r="R119" i="28"/>
  <c r="R120" i="28"/>
  <c r="R121" i="28"/>
  <c r="R122" i="28"/>
  <c r="R123" i="28"/>
  <c r="R124" i="28"/>
  <c r="R125" i="28"/>
  <c r="R126" i="28"/>
  <c r="R127" i="28"/>
  <c r="R128" i="28"/>
  <c r="R129" i="28"/>
  <c r="R130" i="28"/>
  <c r="R131" i="28"/>
  <c r="R132" i="28"/>
  <c r="R133" i="28"/>
  <c r="R134" i="28"/>
  <c r="R135" i="28"/>
  <c r="R136" i="28"/>
  <c r="R137" i="28"/>
  <c r="R138" i="28"/>
  <c r="R139" i="28"/>
  <c r="R140" i="28"/>
  <c r="R141" i="28"/>
  <c r="AA77" i="28"/>
  <c r="AA78" i="28"/>
  <c r="AA79" i="28"/>
  <c r="AA80" i="28"/>
  <c r="AA81" i="28"/>
  <c r="AA82" i="28"/>
  <c r="AA83" i="28"/>
  <c r="AA84" i="28"/>
  <c r="AA85" i="28"/>
  <c r="AA86" i="28"/>
  <c r="AA87" i="28"/>
  <c r="AA88" i="28"/>
  <c r="AA89" i="28"/>
  <c r="AA90" i="28"/>
  <c r="AA91" i="28"/>
  <c r="AA92" i="28"/>
  <c r="AA93" i="28"/>
  <c r="AA94" i="28"/>
  <c r="AA95" i="28"/>
  <c r="AA96" i="28"/>
  <c r="AA97" i="28"/>
  <c r="AA98" i="28"/>
  <c r="AA99" i="28"/>
  <c r="AA100" i="28"/>
  <c r="AA101" i="28"/>
  <c r="AA102" i="28"/>
  <c r="AA103" i="28"/>
  <c r="AA104" i="28"/>
  <c r="AA76" i="28"/>
  <c r="X77" i="28"/>
  <c r="X78" i="28"/>
  <c r="X79" i="28"/>
  <c r="X80" i="28"/>
  <c r="X81" i="28"/>
  <c r="X82" i="28"/>
  <c r="X83" i="28"/>
  <c r="X84" i="28"/>
  <c r="X85" i="28"/>
  <c r="X86" i="28"/>
  <c r="X87" i="28"/>
  <c r="X88" i="28"/>
  <c r="X89" i="28"/>
  <c r="X90" i="28"/>
  <c r="X91" i="28"/>
  <c r="X92" i="28"/>
  <c r="X93" i="28"/>
  <c r="X94" i="28"/>
  <c r="X95" i="28"/>
  <c r="X96" i="28"/>
  <c r="X97" i="28"/>
  <c r="X98" i="28"/>
  <c r="X99" i="28"/>
  <c r="X100" i="28"/>
  <c r="X101" i="28"/>
  <c r="X102" i="28"/>
  <c r="X103" i="28"/>
  <c r="X104" i="28"/>
  <c r="X105" i="28"/>
  <c r="X106" i="28"/>
  <c r="X107" i="28"/>
  <c r="X108" i="28"/>
  <c r="X109" i="28"/>
  <c r="X110" i="28"/>
  <c r="X111" i="28"/>
  <c r="X112" i="28"/>
  <c r="X113" i="28"/>
  <c r="X114" i="28"/>
  <c r="X115" i="28"/>
  <c r="X116" i="28"/>
  <c r="U77" i="28"/>
  <c r="U78" i="28"/>
  <c r="U79" i="28"/>
  <c r="U80" i="28"/>
  <c r="U81" i="28"/>
  <c r="U82" i="28"/>
  <c r="U83" i="28"/>
  <c r="U84" i="28"/>
  <c r="U85" i="28"/>
  <c r="U86" i="28"/>
  <c r="U87" i="28"/>
  <c r="U88" i="28"/>
  <c r="U89" i="28"/>
  <c r="U90" i="28"/>
  <c r="U91" i="28"/>
  <c r="U92" i="28"/>
  <c r="U93" i="28"/>
  <c r="U94" i="28"/>
  <c r="U95" i="28"/>
  <c r="U96" i="28"/>
  <c r="U97" i="28"/>
  <c r="U98" i="28"/>
  <c r="U99" i="28"/>
  <c r="U100" i="28"/>
  <c r="R77" i="28"/>
  <c r="R78" i="28"/>
  <c r="R79" i="28"/>
  <c r="R80" i="28"/>
  <c r="R81" i="28"/>
  <c r="R82" i="28"/>
  <c r="R83" i="28"/>
  <c r="R84" i="28"/>
  <c r="R85" i="28"/>
  <c r="R86" i="28"/>
  <c r="R87" i="28"/>
  <c r="R88" i="28"/>
  <c r="R89" i="28"/>
  <c r="R90" i="28"/>
  <c r="R91" i="28"/>
  <c r="R92" i="28"/>
  <c r="R93" i="28"/>
  <c r="R94" i="28"/>
  <c r="R95" i="28"/>
  <c r="R96" i="28"/>
  <c r="R97" i="28"/>
  <c r="R98" i="28"/>
  <c r="R99" i="28"/>
  <c r="R100" i="28"/>
  <c r="R101" i="28"/>
  <c r="R102" i="28"/>
  <c r="U76" i="28"/>
  <c r="M83" i="28"/>
  <c r="M84" i="28"/>
  <c r="M85" i="28"/>
  <c r="M86" i="28"/>
  <c r="M87" i="28"/>
  <c r="M88" i="28"/>
  <c r="M89" i="28"/>
  <c r="M90" i="28"/>
  <c r="M91" i="28"/>
  <c r="M92" i="28"/>
  <c r="M93" i="28"/>
  <c r="M94" i="28"/>
  <c r="M95" i="28"/>
  <c r="M96" i="28"/>
  <c r="M97" i="28"/>
  <c r="M98" i="28"/>
  <c r="M99" i="28"/>
  <c r="M100" i="28"/>
  <c r="M101" i="28"/>
  <c r="M102" i="28"/>
  <c r="M103" i="28"/>
  <c r="M104" i="28"/>
  <c r="M77" i="28"/>
  <c r="M78" i="28"/>
  <c r="M79" i="28"/>
  <c r="M80" i="28"/>
  <c r="M81" i="28"/>
  <c r="M82" i="28"/>
  <c r="M76" i="28"/>
  <c r="J107" i="28"/>
  <c r="J108" i="28"/>
  <c r="J109" i="28"/>
  <c r="J110" i="28"/>
  <c r="J111" i="28"/>
  <c r="J112" i="28"/>
  <c r="J113" i="28"/>
  <c r="J114" i="28"/>
  <c r="J115" i="28"/>
  <c r="J116" i="28"/>
  <c r="J77" i="28"/>
  <c r="J78" i="28"/>
  <c r="J79" i="28"/>
  <c r="J80" i="28"/>
  <c r="J81" i="28"/>
  <c r="J82" i="28"/>
  <c r="J83" i="28"/>
  <c r="J84" i="28"/>
  <c r="J85" i="28"/>
  <c r="J86" i="28"/>
  <c r="J87" i="28"/>
  <c r="J88" i="28"/>
  <c r="J89" i="28"/>
  <c r="J90" i="28"/>
  <c r="J91" i="28"/>
  <c r="J92" i="28"/>
  <c r="J93" i="28"/>
  <c r="J94" i="28"/>
  <c r="J95" i="28"/>
  <c r="J96" i="28"/>
  <c r="J97" i="28"/>
  <c r="J98" i="28"/>
  <c r="J99" i="28"/>
  <c r="J100" i="28"/>
  <c r="J101" i="28"/>
  <c r="J102" i="28"/>
  <c r="J103" i="28"/>
  <c r="J104" i="28"/>
  <c r="J105" i="28"/>
  <c r="J106" i="28"/>
  <c r="G77" i="28"/>
  <c r="G78" i="28"/>
  <c r="G79" i="28"/>
  <c r="G80" i="28"/>
  <c r="G81" i="28"/>
  <c r="G82" i="28"/>
  <c r="G83" i="28"/>
  <c r="G84" i="28"/>
  <c r="G85" i="28"/>
  <c r="G86" i="28"/>
  <c r="G87" i="28"/>
  <c r="G88" i="28"/>
  <c r="G89" i="28"/>
  <c r="G90" i="28"/>
  <c r="G91" i="28"/>
  <c r="G92" i="28"/>
  <c r="G93" i="28"/>
  <c r="G94" i="28"/>
  <c r="G95" i="28"/>
  <c r="G96" i="28"/>
  <c r="G97" i="28"/>
  <c r="G98" i="28"/>
  <c r="G99" i="28"/>
  <c r="G100" i="28"/>
  <c r="D77" i="28"/>
  <c r="D78" i="28"/>
  <c r="D79" i="28"/>
  <c r="D80" i="28"/>
  <c r="D81" i="28"/>
  <c r="D82" i="28"/>
  <c r="D83" i="28"/>
  <c r="D84" i="28"/>
  <c r="D85" i="28"/>
  <c r="D86" i="28"/>
  <c r="D87" i="28"/>
  <c r="D88" i="28"/>
  <c r="D89" i="28"/>
  <c r="D90" i="28"/>
  <c r="D91" i="28"/>
  <c r="D92" i="28"/>
  <c r="D93" i="28"/>
  <c r="D94" i="28"/>
  <c r="D95" i="28"/>
  <c r="D96" i="28"/>
  <c r="D97" i="28"/>
  <c r="D98" i="28"/>
  <c r="D99" i="28"/>
  <c r="D100" i="28"/>
  <c r="D101" i="28"/>
  <c r="D102" i="28"/>
  <c r="D76" i="28"/>
  <c r="G14" i="5" l="1"/>
  <c r="G11" i="5" s="1"/>
  <c r="G4" i="16"/>
  <c r="G5" i="16"/>
  <c r="G16" i="16" s="1"/>
  <c r="L15" i="17" l="1"/>
  <c r="L17" i="17"/>
  <c r="L9" i="17" l="1"/>
  <c r="L4" i="17"/>
  <c r="G4" i="17"/>
  <c r="A3" i="16" l="1"/>
  <c r="A3" i="17"/>
  <c r="L8" i="16" l="1"/>
  <c r="L7" i="16"/>
  <c r="L6" i="16"/>
  <c r="L17" i="16" s="1"/>
  <c r="L5" i="16"/>
  <c r="L16" i="16" s="1"/>
  <c r="L4" i="16"/>
  <c r="G8" i="16"/>
  <c r="G15" i="16" s="1"/>
  <c r="G19" i="16" s="1"/>
  <c r="G7" i="16"/>
  <c r="G14" i="16" s="1"/>
  <c r="G18" i="16" s="1"/>
  <c r="B18" i="16" s="1"/>
  <c r="G6" i="16"/>
  <c r="L14" i="17"/>
  <c r="L13" i="17"/>
  <c r="L12" i="17"/>
  <c r="L11" i="17"/>
  <c r="L10" i="17"/>
  <c r="L8" i="17"/>
  <c r="L7" i="17"/>
  <c r="L6" i="17"/>
  <c r="L5" i="17"/>
  <c r="G16" i="17"/>
  <c r="G14" i="17"/>
  <c r="G11" i="17"/>
  <c r="G10" i="17"/>
  <c r="G8" i="17"/>
  <c r="G7" i="17"/>
  <c r="G6" i="17"/>
  <c r="G25" i="17" s="1"/>
  <c r="G17" i="16" l="1"/>
  <c r="B17" i="16" s="1"/>
  <c r="G24" i="5" s="1"/>
  <c r="L15" i="16"/>
  <c r="L19" i="16" s="1"/>
  <c r="L14" i="16"/>
  <c r="L18" i="16" s="1"/>
  <c r="G22" i="17"/>
  <c r="B14" i="16"/>
  <c r="G24" i="17"/>
  <c r="B24" i="17" s="1"/>
  <c r="G23" i="17"/>
  <c r="B23" i="17" s="1"/>
  <c r="L24" i="17"/>
  <c r="L29" i="17" s="1"/>
  <c r="L23" i="17"/>
  <c r="L28" i="17" s="1"/>
  <c r="L22" i="17"/>
  <c r="L26" i="17" s="1"/>
  <c r="B15" i="16" l="1"/>
  <c r="G28" i="17"/>
  <c r="G29" i="17"/>
  <c r="B22" i="17"/>
  <c r="B19" i="16" l="1"/>
  <c r="G26" i="5" s="1"/>
  <c r="G25" i="5" l="1"/>
  <c r="B16" i="16"/>
  <c r="G23" i="5" s="1"/>
  <c r="B27" i="17"/>
  <c r="G32" i="5" s="1"/>
  <c r="B29" i="17" l="1"/>
  <c r="B26" i="17"/>
  <c r="B28" i="17"/>
  <c r="G31" i="5" l="1"/>
  <c r="G34" i="5" l="1"/>
  <c r="AB15" i="21" l="1"/>
  <c r="G33" i="5" l="1"/>
  <c r="B10" i="21" l="1"/>
  <c r="B13" i="24" l="1"/>
  <c r="AN1" i="5"/>
  <c r="AI1" i="5"/>
  <c r="AD1" i="5"/>
  <c r="Y1" i="5"/>
  <c r="L13" i="21"/>
  <c r="M13" i="21"/>
  <c r="T13" i="21"/>
  <c r="U13" i="21"/>
  <c r="V13" i="21"/>
  <c r="B22" i="5"/>
  <c r="C22" i="5"/>
  <c r="B23" i="5"/>
  <c r="C23" i="5"/>
  <c r="B25" i="5"/>
  <c r="C25" i="5"/>
  <c r="B26" i="5"/>
  <c r="C26" i="5"/>
  <c r="B27" i="5"/>
  <c r="C27" i="5"/>
  <c r="B28" i="5"/>
  <c r="C28" i="5"/>
  <c r="B30" i="5"/>
  <c r="C30" i="5"/>
  <c r="B33" i="5"/>
  <c r="C33" i="5"/>
  <c r="B34" i="5"/>
  <c r="C34" i="5"/>
  <c r="B35" i="5"/>
  <c r="C35" i="5"/>
  <c r="B36" i="5"/>
  <c r="C36" i="5"/>
  <c r="B39" i="5"/>
  <c r="C40" i="5"/>
  <c r="D40" i="5"/>
  <c r="B50" i="5"/>
  <c r="B51" i="5"/>
  <c r="D23" i="21" l="1"/>
  <c r="B15" i="24"/>
  <c r="E33" i="21" l="1"/>
  <c r="D22" i="21"/>
  <c r="G27" i="5"/>
  <c r="G22" i="5" s="1"/>
  <c r="G35" i="5"/>
  <c r="G8" i="5" l="1"/>
  <c r="B25" i="17"/>
  <c r="G30" i="5" s="1"/>
  <c r="G29" i="5" s="1"/>
  <c r="G21" i="5" l="1"/>
  <c r="F8" i="5" l="1"/>
  <c r="B18" i="20" s="1"/>
</calcChain>
</file>

<file path=xl/sharedStrings.xml><?xml version="1.0" encoding="utf-8"?>
<sst xmlns="http://schemas.openxmlformats.org/spreadsheetml/2006/main" count="1112" uniqueCount="617">
  <si>
    <t>Gesundheit und Komfort</t>
  </si>
  <si>
    <t xml:space="preserve">Thermischer Komfort </t>
  </si>
  <si>
    <t>Raumluftqualität</t>
  </si>
  <si>
    <t>Thermischer Komfort im Sommer</t>
  </si>
  <si>
    <t>Nr.</t>
  </si>
  <si>
    <t>Titel</t>
  </si>
  <si>
    <t>Punkte</t>
  </si>
  <si>
    <t>Energie und Versorgung</t>
  </si>
  <si>
    <t>B</t>
  </si>
  <si>
    <t xml:space="preserve">Baustoffe und Konstruktion </t>
  </si>
  <si>
    <t>Gesamt</t>
  </si>
  <si>
    <t>1.</t>
  </si>
  <si>
    <t>A</t>
  </si>
  <si>
    <t>C</t>
  </si>
  <si>
    <t>3b</t>
  </si>
  <si>
    <t>D</t>
  </si>
  <si>
    <t>Ökologie der Baustoffe und Konstruktionen</t>
  </si>
  <si>
    <t>max. Punktzahl</t>
  </si>
  <si>
    <t>Prozess- und Planungsqualität</t>
  </si>
  <si>
    <t>Primärenergiekennwert PHPP</t>
  </si>
  <si>
    <t>2b</t>
  </si>
  <si>
    <t>1</t>
  </si>
  <si>
    <t>b</t>
  </si>
  <si>
    <t>Produktmanagement - Einsatz regionaler, schadstoffarmer und emissionsarmer Bauprodukte und Konstruktionen</t>
  </si>
  <si>
    <t>Nachweis nach PHPP</t>
  </si>
  <si>
    <t>Vermeidung von PVC</t>
  </si>
  <si>
    <t xml:space="preserve">Messung Raumluftqualität </t>
  </si>
  <si>
    <t>alternativ: Nachweis gem. OIB RL 6</t>
  </si>
  <si>
    <t>erreichte Punkte</t>
  </si>
  <si>
    <r>
      <t>Emissionen CO</t>
    </r>
    <r>
      <rPr>
        <b/>
        <vertAlign val="subscript"/>
        <sz val="10"/>
        <rFont val="Arial"/>
        <family val="2"/>
      </rPr>
      <t>2</t>
    </r>
    <r>
      <rPr>
        <b/>
        <sz val="10"/>
        <rFont val="Arial"/>
        <family val="2"/>
      </rPr>
      <t>-Äquivalente nach PHPP</t>
    </r>
  </si>
  <si>
    <t>Beschreibung</t>
  </si>
  <si>
    <t>Primärenergiebedarf</t>
  </si>
  <si>
    <t>Kriterium</t>
  </si>
  <si>
    <t>Summe</t>
  </si>
  <si>
    <t>Auswertung</t>
  </si>
  <si>
    <t xml:space="preserve">Auswertung </t>
  </si>
  <si>
    <t>VOC</t>
  </si>
  <si>
    <t>Kl I</t>
  </si>
  <si>
    <t>&lt; 300 µg/m³</t>
  </si>
  <si>
    <t>50 Punkte</t>
  </si>
  <si>
    <t>Kl II</t>
  </si>
  <si>
    <t>300 - 500 µg/m³</t>
  </si>
  <si>
    <t>35 Punkte</t>
  </si>
  <si>
    <t>Kl III</t>
  </si>
  <si>
    <t>500 - 1.000 µg/m³</t>
  </si>
  <si>
    <t>20 Punkte</t>
  </si>
  <si>
    <t>Kl IV</t>
  </si>
  <si>
    <t xml:space="preserve"> 1.000 – 3000 µg/m³</t>
  </si>
  <si>
    <t>0 Punkte, 
Quellensuche empfohlen</t>
  </si>
  <si>
    <t>&gt; 3.000 µg/m³</t>
  </si>
  <si>
    <t>Quellensuche erforderlich</t>
  </si>
  <si>
    <t>Formaldehyd</t>
  </si>
  <si>
    <t>&lt; 0,04 ppm</t>
  </si>
  <si>
    <t>0,04 - 0,08 ppm</t>
  </si>
  <si>
    <t>0,08 - 0,1 ppm</t>
  </si>
  <si>
    <t>10 Punkte</t>
  </si>
  <si>
    <t>&gt; 0,1 ppm</t>
  </si>
  <si>
    <t xml:space="preserve">        </t>
  </si>
  <si>
    <t>Elektroinstallationsmaterialien</t>
  </si>
  <si>
    <t xml:space="preserve">Elektroinstallationsmaterialien (Kabel, Leitungen, Rohre, Dosen etc.) </t>
  </si>
  <si>
    <t>5 Punkte</t>
  </si>
  <si>
    <t>m²</t>
  </si>
  <si>
    <t>CO2</t>
  </si>
  <si>
    <r>
      <rPr>
        <sz val="10"/>
        <rFont val="Arial"/>
        <family val="2"/>
      </rPr>
      <t>Kunststofffolien und Vliese jeglicher Art (Dampfbremsen, Abdichtungsbahnen, Trennschichten, Baufolien etc.)</t>
    </r>
    <r>
      <rPr>
        <sz val="10"/>
        <color indexed="8"/>
        <rFont val="Arial"/>
        <family val="2"/>
      </rPr>
      <t xml:space="preserve"> und Dichtstoffe </t>
    </r>
  </si>
  <si>
    <t>Projekt</t>
  </si>
  <si>
    <t>Punkte bei Erreichung der Maximalausstattung</t>
  </si>
  <si>
    <t>Punkte bei Erreichung der Mindestausstattung</t>
  </si>
  <si>
    <t>Punkteermittlung</t>
  </si>
  <si>
    <t>Optimalausstattung</t>
  </si>
  <si>
    <t>Mindestausstattung</t>
  </si>
  <si>
    <t xml:space="preserve"> m²</t>
  </si>
  <si>
    <t>Vorgesehene Stellfläche</t>
  </si>
  <si>
    <t>Hoch/Tiefparker = Höhenversetzte Aufstellung der Vorderräder</t>
  </si>
  <si>
    <t>Anteil Tiefparker</t>
  </si>
  <si>
    <t>Angaben zum geplanten Radständersystem (Angaben in %)</t>
  </si>
  <si>
    <t>Arbeitsplätze/Beschäftigte</t>
  </si>
  <si>
    <t>und Radständer finden sich im Leitfaden.</t>
  </si>
  <si>
    <t>Wolfurt</t>
  </si>
  <si>
    <t>Standortgemeinde</t>
  </si>
  <si>
    <t>Kindergarten</t>
  </si>
  <si>
    <t>Hinweise:</t>
  </si>
  <si>
    <t>Objektbezeichnung</t>
  </si>
  <si>
    <t>Angaben zum Objekt</t>
  </si>
  <si>
    <t>Bewohner</t>
  </si>
  <si>
    <t>Pflegeheim/Altersheim</t>
  </si>
  <si>
    <t>Ausbildungsplätze</t>
  </si>
  <si>
    <t>Mittelschule/Hauptschule</t>
  </si>
  <si>
    <t>Volksschule</t>
  </si>
  <si>
    <t>Verwaltungsgebäude</t>
  </si>
  <si>
    <t>Bezugsgröße 3</t>
  </si>
  <si>
    <t>Bezugsgröße 2</t>
  </si>
  <si>
    <t>Bezugsgröße 1</t>
  </si>
  <si>
    <t>Ausbildungsplatz Max</t>
  </si>
  <si>
    <t>Ausbildungsplatz Min</t>
  </si>
  <si>
    <t>Mitarbeiter Max</t>
  </si>
  <si>
    <t>Mitarbeiter Min</t>
  </si>
  <si>
    <t>Gebäudetyp</t>
  </si>
  <si>
    <t>Kategorie A: Gute Eignung für innerörtlichen und überkommunalen Alltagsradverkehr</t>
  </si>
  <si>
    <t>Zwischenwasser - Muntlix</t>
  </si>
  <si>
    <t>Kategorie C: Eingeschränkte Eignung für den Alltagsradverkehr</t>
  </si>
  <si>
    <t>Zwischenwasser - Dafins</t>
  </si>
  <si>
    <t>Zwischenwasser - Batschuns</t>
  </si>
  <si>
    <t>Weiler</t>
  </si>
  <si>
    <t>Warth</t>
  </si>
  <si>
    <t>Viktorsberg</t>
  </si>
  <si>
    <t>Kategorie B: Gute Eignung für den innerörtlichen Alltagsradverkehr</t>
  </si>
  <si>
    <t>Vandans</t>
  </si>
  <si>
    <t>Übersaxen</t>
  </si>
  <si>
    <t>Tschagguns</t>
  </si>
  <si>
    <t>Thüringerberg</t>
  </si>
  <si>
    <t>Thüringen</t>
  </si>
  <si>
    <t>Sulzberg</t>
  </si>
  <si>
    <t>Sulz</t>
  </si>
  <si>
    <t>Stallehr</t>
  </si>
  <si>
    <t>St. Gerold</t>
  </si>
  <si>
    <t>St. Gallenkirch</t>
  </si>
  <si>
    <t>St. Anton im Montafon</t>
  </si>
  <si>
    <t>Sonntag</t>
  </si>
  <si>
    <t>Silbertal</t>
  </si>
  <si>
    <t>Sibratsgfäll</t>
  </si>
  <si>
    <t>Schwarzenberg</t>
  </si>
  <si>
    <t>Schwarzach</t>
  </si>
  <si>
    <t>Schruns</t>
  </si>
  <si>
    <t>Schröcken</t>
  </si>
  <si>
    <t>Schoppernau</t>
  </si>
  <si>
    <t>Schnifis</t>
  </si>
  <si>
    <t>Schnepfau</t>
  </si>
  <si>
    <t>Schlins</t>
  </si>
  <si>
    <t>Satteins</t>
  </si>
  <si>
    <t>Röthis</t>
  </si>
  <si>
    <t>Röns</t>
  </si>
  <si>
    <t>Riefensberg</t>
  </si>
  <si>
    <t>Reuthe</t>
  </si>
  <si>
    <t>Rankweil</t>
  </si>
  <si>
    <t>Raggal</t>
  </si>
  <si>
    <t>Nüziders</t>
  </si>
  <si>
    <t>Nenzing - Latz</t>
  </si>
  <si>
    <t>Nenzing - Gurtis</t>
  </si>
  <si>
    <t>Nenzing</t>
  </si>
  <si>
    <t>Möggers</t>
  </si>
  <si>
    <t>Mittelberg</t>
  </si>
  <si>
    <t>Mellau</t>
  </si>
  <si>
    <t>Meiningen</t>
  </si>
  <si>
    <t>Mäder</t>
  </si>
  <si>
    <t>Lustenau</t>
  </si>
  <si>
    <t>Ludesch</t>
  </si>
  <si>
    <t>Lorüns</t>
  </si>
  <si>
    <t>Lochau</t>
  </si>
  <si>
    <t>Lingenau</t>
  </si>
  <si>
    <t>Lech</t>
  </si>
  <si>
    <t>Lauterach</t>
  </si>
  <si>
    <t>Laterns</t>
  </si>
  <si>
    <t>Langenegg</t>
  </si>
  <si>
    <t>Langen bei Bregenz</t>
  </si>
  <si>
    <t>Krumbach</t>
  </si>
  <si>
    <t>Koblach</t>
  </si>
  <si>
    <t>Klösterle</t>
  </si>
  <si>
    <t>Klaus</t>
  </si>
  <si>
    <t>Kennelbach</t>
  </si>
  <si>
    <t>Innerbraz</t>
  </si>
  <si>
    <t>Hörbranz</t>
  </si>
  <si>
    <t>Hohenweiler</t>
  </si>
  <si>
    <t>Hohenems - Reuthe</t>
  </si>
  <si>
    <t>Hohenems</t>
  </si>
  <si>
    <t>Höchst</t>
  </si>
  <si>
    <t>Hittisau</t>
  </si>
  <si>
    <t>Hard</t>
  </si>
  <si>
    <t>Götzis - Meschach</t>
  </si>
  <si>
    <t>Götzis</t>
  </si>
  <si>
    <t>Göfis</t>
  </si>
  <si>
    <t>Gaschurn</t>
  </si>
  <si>
    <t>Gaißau</t>
  </si>
  <si>
    <t>Fußach</t>
  </si>
  <si>
    <t>Fraxern</t>
  </si>
  <si>
    <t>Frastanz - Gampelün</t>
  </si>
  <si>
    <t>Frastanz - Frastaferders</t>
  </si>
  <si>
    <t>Frastanz - Fellengatter</t>
  </si>
  <si>
    <t>Frastanz - Amerlügern</t>
  </si>
  <si>
    <t>Frastanz</t>
  </si>
  <si>
    <t>Fontanella</t>
  </si>
  <si>
    <t>Feldkirch</t>
  </si>
  <si>
    <t>Eichenberg</t>
  </si>
  <si>
    <t>Egg</t>
  </si>
  <si>
    <t>Dünserberg</t>
  </si>
  <si>
    <t>Düns</t>
  </si>
  <si>
    <t>Dornbirn - Kehlegg</t>
  </si>
  <si>
    <t>Dornbirn - Ebnit</t>
  </si>
  <si>
    <t>Dornbirn</t>
  </si>
  <si>
    <t>Doren</t>
  </si>
  <si>
    <t>Donbirn - Watzenegg</t>
  </si>
  <si>
    <t>Damüls</t>
  </si>
  <si>
    <t>Dalaas</t>
  </si>
  <si>
    <t>Bürserberg</t>
  </si>
  <si>
    <t>Bürs</t>
  </si>
  <si>
    <t>Buch</t>
  </si>
  <si>
    <t>Bregenz - Fluh</t>
  </si>
  <si>
    <t>Bregenz</t>
  </si>
  <si>
    <t>Brand</t>
  </si>
  <si>
    <t>Bludesch</t>
  </si>
  <si>
    <t>Bludenz</t>
  </si>
  <si>
    <t>Blons</t>
  </si>
  <si>
    <t>Bizau</t>
  </si>
  <si>
    <t>Bildstein</t>
  </si>
  <si>
    <t>Bezau</t>
  </si>
  <si>
    <t>Bartholomäberg</t>
  </si>
  <si>
    <t>Au</t>
  </si>
  <si>
    <t>Andelsbuch</t>
  </si>
  <si>
    <t>Altach</t>
  </si>
  <si>
    <t>Alberschwende</t>
  </si>
  <si>
    <t>Faktor</t>
  </si>
  <si>
    <t>Kategorie</t>
  </si>
  <si>
    <t>Gemeinde</t>
  </si>
  <si>
    <t>A/V-Verhältnis</t>
  </si>
  <si>
    <t>1/m</t>
  </si>
  <si>
    <t>Spezifischer Heizwärmbedarf HWB</t>
  </si>
  <si>
    <t>kWh/m²a</t>
  </si>
  <si>
    <t>kgCO2/m²a</t>
  </si>
  <si>
    <t>Ergebnisse</t>
  </si>
  <si>
    <t>HWB-Punkte</t>
  </si>
  <si>
    <t>PEB-Punkte</t>
  </si>
  <si>
    <t>Eingabe</t>
  </si>
  <si>
    <t>kWh/a</t>
  </si>
  <si>
    <t>Mindestjahresertrag</t>
  </si>
  <si>
    <t>Solljahresertrag</t>
  </si>
  <si>
    <t>Energiekennwert Heizwärme PHPP</t>
  </si>
  <si>
    <t>Eingabefelder</t>
  </si>
  <si>
    <t>Rechenfelder</t>
  </si>
  <si>
    <t xml:space="preserve">Punkte Jahresertragsnachweis </t>
  </si>
  <si>
    <t xml:space="preserve">Projektdaten </t>
  </si>
  <si>
    <t>Genaue Bezeichnung des Bauvorhabens</t>
  </si>
  <si>
    <t>Zeitpunkt der Fertigstellung</t>
  </si>
  <si>
    <t>KGA-Bewertungspunkte</t>
  </si>
  <si>
    <t>Datum</t>
  </si>
  <si>
    <t>Firmen-Stampiglie und Unterschrift</t>
  </si>
  <si>
    <t>Amtsbesucher Min</t>
  </si>
  <si>
    <t>Amtsbesucher Max</t>
  </si>
  <si>
    <t>Veranstaltungsbesucher Min</t>
  </si>
  <si>
    <t>Veranstaltungsbesucher  Max</t>
  </si>
  <si>
    <t>Heimbesucher+-bewohner Min</t>
  </si>
  <si>
    <t>Heimbesucher+-bewohner Max</t>
  </si>
  <si>
    <t>Objekttyp</t>
  </si>
  <si>
    <t xml:space="preserve">Detaillierte Angaben zur erforderlichen Qualität </t>
  </si>
  <si>
    <t xml:space="preserve"> ==&gt; Bei Schulen hier die Anzahl der Lehrer, Schulwart, Reinigungskräfte eintragen</t>
  </si>
  <si>
    <t xml:space="preserve"> ==&gt; Personen aus Sprengelgemeinden bzw. Ortsteilen,  die sich in Raddistanz befinden (&gt; 300 m und &lt;10 km bzw. zu steiles Gelände)</t>
  </si>
  <si>
    <t>Besucher des Veranstaltungsgebäudes</t>
  </si>
  <si>
    <t>Bewohner von Pflegeheimen</t>
  </si>
  <si>
    <t>Heimbesucher Min</t>
  </si>
  <si>
    <t>Heimbesucher Max</t>
  </si>
  <si>
    <t>Veranstaltungssaal mit vorwiegend lokaler Nutzung</t>
  </si>
  <si>
    <t>Veranstaltungssaal mit lokaler und regionaler Nutzung</t>
  </si>
  <si>
    <t>Veranstaltungssaal mit vorwiegend überregionaler Nutzung</t>
  </si>
  <si>
    <t>Bruttogrundfläche (analog OIB RL 6)</t>
  </si>
  <si>
    <t>Realisierte Stellplätze</t>
  </si>
  <si>
    <t>Architekt</t>
  </si>
  <si>
    <t>Anmerkungen:</t>
  </si>
  <si>
    <t>B 1 Energie und Versorgung (Nachweis nach PHPP)</t>
  </si>
  <si>
    <t>C 1.1 Thermischer Komfort im Sommer</t>
  </si>
  <si>
    <t xml:space="preserve">C 2.1 Messung Raumluftqualität </t>
  </si>
  <si>
    <t xml:space="preserve">KGA - Erstelldatum </t>
  </si>
  <si>
    <r>
      <t>Emissionen CO</t>
    </r>
    <r>
      <rPr>
        <b/>
        <vertAlign val="subscript"/>
        <sz val="10"/>
        <rFont val="Arial"/>
        <family val="2"/>
      </rPr>
      <t>2</t>
    </r>
    <r>
      <rPr>
        <b/>
        <sz val="10"/>
        <rFont val="Arial"/>
        <family val="2"/>
      </rPr>
      <t xml:space="preserve">-Äquivalente </t>
    </r>
  </si>
  <si>
    <t>Stand:</t>
  </si>
  <si>
    <t>Stand 1</t>
  </si>
  <si>
    <t>Stand 2</t>
  </si>
  <si>
    <t>Stand 3</t>
  </si>
  <si>
    <t>Stand 4</t>
  </si>
  <si>
    <t>Stand 5</t>
  </si>
  <si>
    <t>Stand 6</t>
  </si>
  <si>
    <t>kWh/(m²a)</t>
  </si>
  <si>
    <t>kgCO2/(m²a)</t>
  </si>
  <si>
    <t>Sehr gute Anbindung an Stadtbusnetz</t>
  </si>
  <si>
    <t>mit "x" markieren</t>
  </si>
  <si>
    <t>Nutzung erneuerbarer Energiequellen</t>
  </si>
  <si>
    <t>Gesamtpunkte Erneuerbare Energiequellen</t>
  </si>
  <si>
    <t>Datum der Baueingabe</t>
  </si>
  <si>
    <t xml:space="preserve"> ==&gt; Anzahl der Veranstaltungsbesucher (siehe Nebenrechnung rechts)</t>
  </si>
  <si>
    <t>Nebenrechnung Veranstaltungsgebäude</t>
  </si>
  <si>
    <t>Maximal zulässige Belegung</t>
  </si>
  <si>
    <t>Name</t>
  </si>
  <si>
    <t>Anzahl Personen</t>
  </si>
  <si>
    <t>Anzahl pro Jahr</t>
  </si>
  <si>
    <t>Anzahl Veranstaltungen pro Jahr</t>
  </si>
  <si>
    <t>gewichtete Belegungsdichte</t>
  </si>
  <si>
    <t>Belegungsszenario 1</t>
  </si>
  <si>
    <t>Belegungsszenario 2</t>
  </si>
  <si>
    <t>Belegungsszenario 3</t>
  </si>
  <si>
    <t>Belegungsszenario 4</t>
  </si>
  <si>
    <t>Belegungsszenario 5</t>
  </si>
  <si>
    <t xml:space="preserve"> Wichtig: Stellfläche muss zu 50% überdacht sein!</t>
  </si>
  <si>
    <t>Gewichtete Besucheranzahl</t>
  </si>
  <si>
    <t>Fachberatung</t>
  </si>
  <si>
    <t>Beratungsprotokoll</t>
  </si>
  <si>
    <t>Nachweis: Beratungsprotokoll</t>
  </si>
  <si>
    <t>Max. 4</t>
  </si>
  <si>
    <t>Strukturen und Elemente am Gründach</t>
  </si>
  <si>
    <t>Max. 10</t>
  </si>
  <si>
    <t>mehr als eine Gebäudefassade begrünt</t>
  </si>
  <si>
    <t xml:space="preserve">Erhalt und / oder Schaffung von unversiegelten, versickerungsfähigen Außenflächen (inkl. Parkplätze) </t>
  </si>
  <si>
    <t>Was</t>
  </si>
  <si>
    <t>Maßnahme</t>
  </si>
  <si>
    <t>Zielerreichung</t>
  </si>
  <si>
    <t>Dachbegrünung</t>
  </si>
  <si>
    <t xml:space="preserve">&gt; 75 % Anteil an allen begrünbaren Dächern </t>
  </si>
  <si>
    <t>&gt; 75 % Anteil an allen begrünbaren Dächern</t>
  </si>
  <si>
    <t>KGA - Prüfer</t>
  </si>
  <si>
    <t>Genaue Firmenbezeichnung des KGA-Prüfers</t>
  </si>
  <si>
    <t>Energiekennwert Kühlbedarf PHPP</t>
  </si>
  <si>
    <t>Kühlbedarf KB</t>
  </si>
  <si>
    <t>KB-Punkte</t>
  </si>
  <si>
    <r>
      <t>Photovoltaik Export PV</t>
    </r>
    <r>
      <rPr>
        <vertAlign val="subscript"/>
        <sz val="10"/>
        <color theme="1"/>
        <rFont val="Arial"/>
        <family val="2"/>
      </rPr>
      <t>Export;SK</t>
    </r>
  </si>
  <si>
    <r>
      <t>Kühlbedarf KB</t>
    </r>
    <r>
      <rPr>
        <vertAlign val="subscript"/>
        <sz val="10"/>
        <color theme="1"/>
        <rFont val="Arial"/>
        <family val="2"/>
      </rPr>
      <t>SK</t>
    </r>
  </si>
  <si>
    <r>
      <t>Heizwärmbedarf HWB</t>
    </r>
    <r>
      <rPr>
        <vertAlign val="subscript"/>
        <sz val="10"/>
        <color theme="1"/>
        <rFont val="Arial"/>
        <family val="2"/>
      </rPr>
      <t>SK</t>
    </r>
  </si>
  <si>
    <r>
      <t>Primärenergiebedarf gesamt PEB</t>
    </r>
    <r>
      <rPr>
        <vertAlign val="subscript"/>
        <sz val="10"/>
        <color theme="1"/>
        <rFont val="Arial"/>
        <family val="2"/>
      </rPr>
      <t>SK</t>
    </r>
  </si>
  <si>
    <r>
      <t>CO2</t>
    </r>
    <r>
      <rPr>
        <vertAlign val="subscript"/>
        <sz val="10"/>
        <color theme="1"/>
        <rFont val="Arial"/>
        <family val="2"/>
      </rPr>
      <t>SK</t>
    </r>
    <r>
      <rPr>
        <sz val="10"/>
        <color theme="1"/>
        <rFont val="Arial"/>
        <family val="2"/>
      </rPr>
      <t xml:space="preserve"> gesamt (EAW)</t>
    </r>
  </si>
  <si>
    <t>Betriebsstrombedarf BSB</t>
  </si>
  <si>
    <t>Beleuchtungsenergiebedarf BelEB</t>
  </si>
  <si>
    <r>
      <t>KB</t>
    </r>
    <r>
      <rPr>
        <b/>
        <vertAlign val="subscript"/>
        <sz val="10"/>
        <rFont val="Arial"/>
        <family val="2"/>
      </rPr>
      <t>SK</t>
    </r>
    <r>
      <rPr>
        <b/>
        <sz val="10"/>
        <rFont val="Arial"/>
        <family val="2"/>
      </rPr>
      <t>-Punkte</t>
    </r>
  </si>
  <si>
    <r>
      <t>HWB</t>
    </r>
    <r>
      <rPr>
        <b/>
        <vertAlign val="subscript"/>
        <sz val="10"/>
        <rFont val="Arial"/>
        <family val="2"/>
      </rPr>
      <t>SK</t>
    </r>
    <r>
      <rPr>
        <b/>
        <sz val="10"/>
        <rFont val="Arial"/>
        <family val="2"/>
      </rPr>
      <t>-Punkte</t>
    </r>
  </si>
  <si>
    <r>
      <t>PEB</t>
    </r>
    <r>
      <rPr>
        <b/>
        <vertAlign val="subscript"/>
        <sz val="10"/>
        <color theme="1"/>
        <rFont val="Arial"/>
        <family val="2"/>
      </rPr>
      <t>SK</t>
    </r>
    <r>
      <rPr>
        <b/>
        <sz val="10"/>
        <color theme="1"/>
        <rFont val="Arial"/>
        <family val="2"/>
      </rPr>
      <t>-Punkte</t>
    </r>
  </si>
  <si>
    <r>
      <t>Heizwärmebedarf HWB</t>
    </r>
    <r>
      <rPr>
        <b/>
        <vertAlign val="subscript"/>
        <sz val="10"/>
        <rFont val="Arial"/>
        <family val="2"/>
      </rPr>
      <t>SK</t>
    </r>
  </si>
  <si>
    <r>
      <t>Kühlbedarf KB</t>
    </r>
    <r>
      <rPr>
        <b/>
        <vertAlign val="subscript"/>
        <sz val="10"/>
        <rFont val="Arial"/>
        <family val="2"/>
      </rPr>
      <t>SK</t>
    </r>
  </si>
  <si>
    <r>
      <t>Primärenergiebedarf PEB</t>
    </r>
    <r>
      <rPr>
        <b/>
        <vertAlign val="subscript"/>
        <sz val="10"/>
        <color indexed="8"/>
        <rFont val="Arial"/>
        <family val="2"/>
      </rPr>
      <t>SK</t>
    </r>
  </si>
  <si>
    <r>
      <t>CO2</t>
    </r>
    <r>
      <rPr>
        <b/>
        <vertAlign val="subscript"/>
        <sz val="10"/>
        <color theme="1"/>
        <rFont val="Arial"/>
        <family val="2"/>
      </rPr>
      <t>SK</t>
    </r>
    <r>
      <rPr>
        <b/>
        <sz val="10"/>
        <color theme="1"/>
        <rFont val="Arial"/>
        <family val="2"/>
      </rPr>
      <t>-Punkte</t>
    </r>
  </si>
  <si>
    <t>inklusiv aller internen Lasten auch Betriebsstrom</t>
  </si>
  <si>
    <t>Energiebezugsfläche PHPP</t>
  </si>
  <si>
    <t xml:space="preserve">PV Ertrag mit Eigenbedarfsdeckung </t>
  </si>
  <si>
    <t>Tageslichtnutzung</t>
  </si>
  <si>
    <t>Eigennutzung PV</t>
  </si>
  <si>
    <t>Bitte mit "x" markieren</t>
  </si>
  <si>
    <t>Neubau</t>
  </si>
  <si>
    <t>Sanierung</t>
  </si>
  <si>
    <t>Eingabefeld PHPP Neubau</t>
  </si>
  <si>
    <t>Ergebnisse Neubau</t>
  </si>
  <si>
    <t>Eingabefeld PHPP Sanierung</t>
  </si>
  <si>
    <t>Ergebnisse Sanierung</t>
  </si>
  <si>
    <t>Rechenfelder Neubau</t>
  </si>
  <si>
    <t>Rechenfelder Sanierung</t>
  </si>
  <si>
    <t>Eingabefeld OIB RL-6 Neubau</t>
  </si>
  <si>
    <t>Eingabefeld OIB RL-6 Sanierung</t>
  </si>
  <si>
    <t>Erreichte Punkte Fahrradabstellplätze</t>
  </si>
  <si>
    <r>
      <rPr>
        <b/>
        <sz val="11"/>
        <color rgb="FFFF0000"/>
        <rFont val="Arial"/>
        <family val="2"/>
      </rPr>
      <t>Bitte wählen Sie</t>
    </r>
    <r>
      <rPr>
        <b/>
        <sz val="11"/>
        <rFont val="Arial"/>
        <family val="2"/>
      </rPr>
      <t xml:space="preserve">
Bei dem Gebäude handelt es sich um einen/eine:</t>
    </r>
  </si>
  <si>
    <t>Fahrradabstellplätze und Elektromobilität</t>
  </si>
  <si>
    <t>Gebäudehüllfläche</t>
  </si>
  <si>
    <t>W/K</t>
  </si>
  <si>
    <t>m³</t>
  </si>
  <si>
    <r>
      <t>LEK</t>
    </r>
    <r>
      <rPr>
        <vertAlign val="subscript"/>
        <sz val="10"/>
        <color theme="1"/>
        <rFont val="Arial"/>
        <family val="2"/>
      </rPr>
      <t>T</t>
    </r>
    <r>
      <rPr>
        <sz val="10"/>
        <color theme="1"/>
        <rFont val="Arial"/>
        <family val="2"/>
      </rPr>
      <t>-Wert</t>
    </r>
  </si>
  <si>
    <r>
      <t>korrigierter LEK</t>
    </r>
    <r>
      <rPr>
        <vertAlign val="subscript"/>
        <sz val="10"/>
        <color theme="1"/>
        <rFont val="Arial"/>
        <family val="2"/>
      </rPr>
      <t>T</t>
    </r>
    <r>
      <rPr>
        <sz val="10"/>
        <color theme="1"/>
        <rFont val="Arial"/>
        <family val="2"/>
      </rPr>
      <t>-Wert</t>
    </r>
  </si>
  <si>
    <t>Brutto-Volumen</t>
  </si>
  <si>
    <r>
      <t>LEK</t>
    </r>
    <r>
      <rPr>
        <b/>
        <vertAlign val="subscript"/>
        <sz val="10"/>
        <color theme="1"/>
        <rFont val="Arial"/>
        <family val="2"/>
      </rPr>
      <t>T</t>
    </r>
    <r>
      <rPr>
        <b/>
        <sz val="10"/>
        <color theme="1"/>
        <rFont val="Arial"/>
        <family val="2"/>
      </rPr>
      <t>-Punkte</t>
    </r>
  </si>
  <si>
    <t>4b</t>
  </si>
  <si>
    <t>5b</t>
  </si>
  <si>
    <t>Generalsanierung</t>
  </si>
  <si>
    <t>6b</t>
  </si>
  <si>
    <t>1.1b</t>
  </si>
  <si>
    <t>1.2b</t>
  </si>
  <si>
    <t>B 1.5 Nutzung erneuerbarer Energiequellen</t>
  </si>
  <si>
    <r>
      <t>LEK</t>
    </r>
    <r>
      <rPr>
        <b/>
        <vertAlign val="subscript"/>
        <sz val="10"/>
        <rFont val="Arial"/>
        <family val="2"/>
      </rPr>
      <t>T</t>
    </r>
    <r>
      <rPr>
        <b/>
        <sz val="10"/>
        <rFont val="Arial"/>
        <family val="2"/>
      </rPr>
      <t xml:space="preserve"> Wert</t>
    </r>
  </si>
  <si>
    <t>Summe Bauteilflächen zum Bestand</t>
  </si>
  <si>
    <r>
      <t>Transmissions-Leitwert L</t>
    </r>
    <r>
      <rPr>
        <vertAlign val="subscript"/>
        <sz val="10"/>
        <color theme="1"/>
        <rFont val="Arial"/>
        <family val="2"/>
      </rPr>
      <t xml:space="preserve">T </t>
    </r>
    <r>
      <rPr>
        <sz val="10"/>
        <color theme="1"/>
        <rFont val="Arial"/>
        <family val="2"/>
      </rPr>
      <t>inkl. Wärmebrückenzuschlag</t>
    </r>
  </si>
  <si>
    <t>Endenergiebedarf Beleuchtung (eigene Ermittlung)</t>
  </si>
  <si>
    <t>Gibt es eine ökologische Fachbauaufsicht?</t>
  </si>
  <si>
    <r>
      <t>Nutzkältebedarf Q</t>
    </r>
    <r>
      <rPr>
        <vertAlign val="subscript"/>
        <sz val="10"/>
        <color theme="1"/>
        <rFont val="Arial"/>
        <family val="2"/>
      </rPr>
      <t xml:space="preserve">K </t>
    </r>
  </si>
  <si>
    <r>
      <t>CO</t>
    </r>
    <r>
      <rPr>
        <vertAlign val="subscript"/>
        <sz val="10"/>
        <color theme="1"/>
        <rFont val="Arial"/>
        <family val="2"/>
      </rPr>
      <t>2</t>
    </r>
  </si>
  <si>
    <t>Objekttyp / Funktion des Gebäudes</t>
  </si>
  <si>
    <t xml:space="preserve">Erhalt und / oder Schaffung landschaftsprägender und naturnaher Elemente </t>
  </si>
  <si>
    <t>Naturnahe Außenflächen</t>
  </si>
  <si>
    <r>
      <t>kg</t>
    </r>
    <r>
      <rPr>
        <vertAlign val="subscript"/>
        <sz val="10"/>
        <color theme="1"/>
        <rFont val="Arial"/>
        <family val="2"/>
      </rPr>
      <t>CO2</t>
    </r>
    <r>
      <rPr>
        <sz val="10"/>
        <color theme="1"/>
        <rFont val="Arial"/>
        <family val="2"/>
      </rPr>
      <t>/(m²a)</t>
    </r>
  </si>
  <si>
    <r>
      <t>kg</t>
    </r>
    <r>
      <rPr>
        <vertAlign val="subscript"/>
        <sz val="10"/>
        <color theme="1"/>
        <rFont val="Arial"/>
        <family val="2"/>
      </rPr>
      <t>CO2</t>
    </r>
    <r>
      <rPr>
        <sz val="10"/>
        <color theme="1"/>
        <rFont val="Arial"/>
        <family val="2"/>
      </rPr>
      <t>/m²a</t>
    </r>
  </si>
  <si>
    <r>
      <t>CO</t>
    </r>
    <r>
      <rPr>
        <b/>
        <vertAlign val="subscript"/>
        <sz val="10"/>
        <color theme="1"/>
        <rFont val="Arial"/>
        <family val="2"/>
      </rPr>
      <t>2</t>
    </r>
  </si>
  <si>
    <t>ermittelter Jahresertrag,
Nachweis durch Berechnung mit für die Auslegung der jeweiligen Energiequelle geeignetem Programm</t>
  </si>
  <si>
    <t>Angabe der Energiequelle, Berechnungsausdruck der Anlagenauslegung wird beigelegt</t>
  </si>
  <si>
    <t>Folien, Fußbodenbeläge und Wandbeläge</t>
  </si>
  <si>
    <t xml:space="preserve">Fenster, Sonnen- und / oder Sichtschutz am Objekt </t>
  </si>
  <si>
    <t>Name des KGA-Prüfers</t>
  </si>
  <si>
    <t>Feuchteabhängiges Absenken der Volumenströme ohne aktive Befeuchtung im Winter</t>
  </si>
  <si>
    <t>Feuchterückgewinnung ohne aktive Befeuchtung im Winter</t>
  </si>
  <si>
    <t>(M) 
0</t>
  </si>
  <si>
    <t>Punkte (gesamt max. 10)</t>
  </si>
  <si>
    <t>Punkte (gesamt max. 75)</t>
  </si>
  <si>
    <t>max. 75</t>
  </si>
  <si>
    <t>Maßnahmen zur Sicherstellung komfortabler Raumfeuchte</t>
  </si>
  <si>
    <t>1. Ökologische Bauteiloptimierung in der Planung</t>
  </si>
  <si>
    <t>Sonnen- und / oder Sichtschutz am Objekt</t>
  </si>
  <si>
    <t>Fenster und Türen / Tore</t>
  </si>
  <si>
    <r>
      <t>Wurden</t>
    </r>
    <r>
      <rPr>
        <b/>
        <sz val="10"/>
        <rFont val="Arial"/>
        <family val="2"/>
      </rPr>
      <t xml:space="preserve"> regelmäßige Kontrollen</t>
    </r>
    <r>
      <rPr>
        <sz val="10"/>
        <rFont val="Arial"/>
        <family val="2"/>
      </rPr>
      <t xml:space="preserve"> zum Materialeinsatz durchgeführt und wurden diese dokumentiert?</t>
    </r>
  </si>
  <si>
    <t>C 1.2 Maßnahmen zur Sicherstellung komfortabler Raumfeuchte</t>
  </si>
  <si>
    <r>
      <t>Entsorgungsindikator (EI</t>
    </r>
    <r>
      <rPr>
        <b/>
        <vertAlign val="subscript"/>
        <sz val="10"/>
        <color indexed="8"/>
        <rFont val="Arial"/>
        <family val="2"/>
      </rPr>
      <t>10</t>
    </r>
    <r>
      <rPr>
        <b/>
        <sz val="10"/>
        <color indexed="8"/>
        <rFont val="Arial"/>
        <family val="2"/>
      </rPr>
      <t xml:space="preserve">) </t>
    </r>
  </si>
  <si>
    <t xml:space="preserve">D 2.2 Entsorgungsindikator (EI 10) </t>
  </si>
  <si>
    <r>
      <rPr>
        <b/>
        <sz val="10"/>
        <rFont val="Arial"/>
        <family val="2"/>
      </rPr>
      <t xml:space="preserve">Entsorgungsindikator EI 10 </t>
    </r>
    <r>
      <rPr>
        <sz val="10"/>
        <rFont val="Arial"/>
        <family val="2"/>
      </rPr>
      <t>(Berechnung mit Eco2soft, Bilanzgrenze BG3)</t>
    </r>
  </si>
  <si>
    <t>Vermeidung von Bioziden</t>
  </si>
  <si>
    <r>
      <rPr>
        <b/>
        <sz val="10"/>
        <color indexed="8"/>
        <rFont val="Arial"/>
        <family val="2"/>
      </rPr>
      <t>Fassaden aus Produkten ohne biozide Ausrüstungen</t>
    </r>
    <r>
      <rPr>
        <sz val="10"/>
        <color indexed="8"/>
        <rFont val="Arial"/>
        <family val="2"/>
      </rPr>
      <t xml:space="preserve">
Fassadenplatten, Fassadenverkleidungen, Spachtelmassen, Putze, Grundierungen, Farben u.ä.
</t>
    </r>
  </si>
  <si>
    <t>Fenster und Außentüren ohne biozide Ausrüstungen</t>
  </si>
  <si>
    <r>
      <rPr>
        <b/>
        <sz val="10"/>
        <color indexed="8"/>
        <rFont val="Arial"/>
        <family val="2"/>
      </rPr>
      <t>Dächer aus Produkten ohne biozide Ausrüstungen</t>
    </r>
    <r>
      <rPr>
        <sz val="10"/>
        <color indexed="8"/>
        <rFont val="Arial"/>
        <family val="2"/>
      </rPr>
      <t xml:space="preserve">
Bitumendichtungsbahnen, -pappen (z.B. Gründach) u.ä.
</t>
    </r>
  </si>
  <si>
    <t>Haustechnik-Konzept</t>
  </si>
  <si>
    <t>Einregulierung</t>
  </si>
  <si>
    <r>
      <t>vereinfachte Berechnung Wirtschaftlichkeit (inkl. CO</t>
    </r>
    <r>
      <rPr>
        <b/>
        <vertAlign val="subscript"/>
        <sz val="10"/>
        <rFont val="Arial"/>
        <family val="2"/>
      </rPr>
      <t>2</t>
    </r>
    <r>
      <rPr>
        <b/>
        <sz val="10"/>
        <rFont val="Arial"/>
        <family val="2"/>
      </rPr>
      <t>-Folgekosten)</t>
    </r>
  </si>
  <si>
    <t>Nachweis über den thermischen Komfort im Sommer</t>
  </si>
  <si>
    <t>Ausführung Free-Cooling</t>
  </si>
  <si>
    <t>Kommentierung Haustechnik</t>
  </si>
  <si>
    <t>Konzept für Betrieb &amp; Wartung</t>
  </si>
  <si>
    <r>
      <t xml:space="preserve">differenzierte Verbrauchserfassung </t>
    </r>
    <r>
      <rPr>
        <b/>
        <i/>
        <sz val="8"/>
        <color rgb="FFFF0000"/>
        <rFont val="Arial"/>
        <family val="2"/>
      </rPr>
      <t>(MUSSKRITERIUM)</t>
    </r>
  </si>
  <si>
    <t>Fachberatung für eine naturnahe und naturverträgliche Gebäude- und Außengestaltung</t>
  </si>
  <si>
    <t>Gründach mit &lt; 14 cm Substratdicke 
(trockenheitsverträgliche Vegetation)</t>
  </si>
  <si>
    <t xml:space="preserve">Von mindestens zwei heimischen bzw. südeuropäischen Laub- oder Obstbäumen </t>
  </si>
  <si>
    <t>Artenschutz</t>
  </si>
  <si>
    <t>Artenschutz am Gebäude</t>
  </si>
  <si>
    <t>Vogelsichere Gestaltung der Glasflächen</t>
  </si>
  <si>
    <t>Insektenfreundliche Lichtgestaltung</t>
  </si>
  <si>
    <t>Erhalt oder Schaffung von Quartieren für gebäudebrütende Wildtiere</t>
  </si>
  <si>
    <t>2</t>
  </si>
  <si>
    <t>Einsatz von Recyclingbeton</t>
  </si>
  <si>
    <t>D 1.2 Einsatz von Recyclingbeton</t>
  </si>
  <si>
    <t>Vermeidung kritischer Stoffe und Kreislaufwirtschaft</t>
  </si>
  <si>
    <t>Von Trockensteinmauern (Länge &gt; 3 m), Natursteinhaufen (&gt; 3 m² Grundfläche) oder Totholzelemente (Benjeshecke, Wurzelstöcke, Baumstämme)</t>
  </si>
  <si>
    <t>Arbeitsplätze / Beschäftigte</t>
  </si>
  <si>
    <t>Schüler / Kindergartenkinder</t>
  </si>
  <si>
    <t>Punkte 
(gesamt max. 30)</t>
  </si>
  <si>
    <r>
      <t>CO</t>
    </r>
    <r>
      <rPr>
        <vertAlign val="subscript"/>
        <sz val="10"/>
        <color theme="1"/>
        <rFont val="Arial"/>
        <family val="2"/>
      </rPr>
      <t>2;SK</t>
    </r>
    <r>
      <rPr>
        <sz val="10"/>
        <color theme="1"/>
        <rFont val="Arial"/>
        <family val="2"/>
      </rPr>
      <t xml:space="preserve"> gesamt (EAW)</t>
    </r>
  </si>
  <si>
    <r>
      <t>CO</t>
    </r>
    <r>
      <rPr>
        <b/>
        <vertAlign val="subscript"/>
        <sz val="10"/>
        <color theme="1"/>
        <rFont val="Arial"/>
        <family val="2"/>
      </rPr>
      <t>2;SK</t>
    </r>
    <r>
      <rPr>
        <b/>
        <sz val="10"/>
        <color theme="1"/>
        <rFont val="Arial"/>
        <family val="2"/>
      </rPr>
      <t>-Punkte</t>
    </r>
  </si>
  <si>
    <t xml:space="preserve">Fußbodenbeläge und deren Bestandteile (inkl. Sockelleisten), Wandbeläge (Tapeten) </t>
  </si>
  <si>
    <t>Zusatzpunkte bei Ausführung einer passiven Kühlung  (z.B. freie Nachtlüftung, mechanische Lüftungsanlage, adiabate Abluftbefeuchtung, Grundwasserkühlung ohne Kompressionskälte, Solekühlung ohne Kompressionskälte)</t>
  </si>
  <si>
    <r>
      <t>D 2.1 Ökologischer Kennwert des Gebäudes (OI3</t>
    </r>
    <r>
      <rPr>
        <b/>
        <sz val="9"/>
        <rFont val="Arial"/>
        <family val="2"/>
      </rPr>
      <t>BG3, BZF</t>
    </r>
    <r>
      <rPr>
        <b/>
        <sz val="12"/>
        <rFont val="Arial"/>
        <family val="2"/>
      </rPr>
      <t xml:space="preserve">) </t>
    </r>
  </si>
  <si>
    <r>
      <rPr>
        <b/>
        <sz val="10"/>
        <rFont val="Arial"/>
        <family val="2"/>
      </rPr>
      <t>OI3</t>
    </r>
    <r>
      <rPr>
        <b/>
        <vertAlign val="subscript"/>
        <sz val="10"/>
        <rFont val="Arial"/>
        <family val="2"/>
      </rPr>
      <t>BG3,BZF</t>
    </r>
    <r>
      <rPr>
        <sz val="10"/>
        <rFont val="Arial"/>
        <family val="2"/>
      </rPr>
      <t xml:space="preserve"> (Berechnung mit Eco2soft, Bilanzgrenze BG3)</t>
    </r>
  </si>
  <si>
    <t>Max. 6</t>
  </si>
  <si>
    <t>Wert</t>
  </si>
  <si>
    <r>
      <t>CO</t>
    </r>
    <r>
      <rPr>
        <b/>
        <vertAlign val="subscript"/>
        <sz val="10"/>
        <color theme="1"/>
        <rFont val="Arial"/>
        <family val="2"/>
      </rPr>
      <t>2</t>
    </r>
    <r>
      <rPr>
        <b/>
        <sz val="10"/>
        <color theme="1"/>
        <rFont val="Arial"/>
        <family val="2"/>
      </rPr>
      <t>-Grenzwerte oben</t>
    </r>
  </si>
  <si>
    <r>
      <t>CO</t>
    </r>
    <r>
      <rPr>
        <b/>
        <vertAlign val="subscript"/>
        <sz val="10"/>
        <color theme="1"/>
        <rFont val="Arial"/>
        <family val="2"/>
      </rPr>
      <t>2</t>
    </r>
    <r>
      <rPr>
        <b/>
        <sz val="10"/>
        <color theme="1"/>
        <rFont val="Arial"/>
        <family val="2"/>
      </rPr>
      <t>-Grenzwerte unten</t>
    </r>
  </si>
  <si>
    <t>HWB-Grenzwerte oben</t>
  </si>
  <si>
    <t>HWB-Grenzwerte unten</t>
  </si>
  <si>
    <t>KB-Grenzwerte oben</t>
  </si>
  <si>
    <t>KB-Grenzwerte unten</t>
  </si>
  <si>
    <t>PEB-Grenzwerte oben</t>
  </si>
  <si>
    <t>PEB-Grenzwerte unten</t>
  </si>
  <si>
    <t>Heizwärmebedarf</t>
  </si>
  <si>
    <t>Kühlbedarf</t>
  </si>
  <si>
    <r>
      <t>CO</t>
    </r>
    <r>
      <rPr>
        <vertAlign val="subscript"/>
        <sz val="10"/>
        <color theme="1"/>
        <rFont val="Arial"/>
        <family val="2"/>
      </rPr>
      <t>2</t>
    </r>
    <r>
      <rPr>
        <sz val="10"/>
        <color theme="1"/>
        <rFont val="Arial"/>
        <family val="2"/>
      </rPr>
      <t>-Äquivalente</t>
    </r>
  </si>
  <si>
    <r>
      <t>LEK</t>
    </r>
    <r>
      <rPr>
        <vertAlign val="subscript"/>
        <sz val="11"/>
        <color theme="1"/>
        <rFont val="Arial"/>
        <family val="2"/>
      </rPr>
      <t>T</t>
    </r>
  </si>
  <si>
    <t>LEK-Grenzwert oben</t>
  </si>
  <si>
    <t>LEK-Grenzwert unten</t>
  </si>
  <si>
    <r>
      <t>B 1b Heizwärmebedarf HWB</t>
    </r>
    <r>
      <rPr>
        <b/>
        <vertAlign val="subscript"/>
        <sz val="12"/>
        <rFont val="Arial"/>
        <family val="2"/>
      </rPr>
      <t>SK</t>
    </r>
    <r>
      <rPr>
        <b/>
        <sz val="12"/>
        <rFont val="Arial"/>
        <family val="2"/>
      </rPr>
      <t>, Primärenergiebedarf und Emissionen CO</t>
    </r>
    <r>
      <rPr>
        <b/>
        <vertAlign val="subscript"/>
        <sz val="11"/>
        <rFont val="Arial"/>
        <family val="2"/>
      </rPr>
      <t>2</t>
    </r>
    <r>
      <rPr>
        <b/>
        <sz val="12"/>
        <rFont val="Arial"/>
        <family val="2"/>
      </rPr>
      <t>-Äquivalente nach OIB RL 6 2019</t>
    </r>
  </si>
  <si>
    <t>Elektromobilität</t>
  </si>
  <si>
    <t xml:space="preserve">Punkte </t>
  </si>
  <si>
    <t>Ladestation mehrspurige Elektrofahrzeuge</t>
  </si>
  <si>
    <t>Lademöglichkeit Elektro-Fahrräder</t>
  </si>
  <si>
    <t>Gesamtpunkte mit Elektromobilität</t>
  </si>
  <si>
    <t>hier:</t>
  </si>
  <si>
    <t>Anteil Hoch/Tiefparker</t>
  </si>
  <si>
    <t>Punkte (gesamt max. 15)</t>
  </si>
  <si>
    <t>mehr als 3,00 m über dem Fussboden, wobei Reinigung nicht mit Reinigungsstange oder Trittleiter möglich ist</t>
  </si>
  <si>
    <r>
      <t>Nachweis</t>
    </r>
    <r>
      <rPr>
        <sz val="10"/>
        <color theme="1"/>
        <rFont val="Arial"/>
        <family val="2"/>
      </rPr>
      <t>: Beschreibung Art und Weise</t>
    </r>
  </si>
  <si>
    <t>max. 6</t>
  </si>
  <si>
    <t>Schmutzfangzonen</t>
  </si>
  <si>
    <t>Bodenbündig eingebaute Gitterroste, Kunststoff- oder Naturfasermatten vor und hinter den Eingangszonen</t>
  </si>
  <si>
    <t>Vorhanden an allen Eingangszonen</t>
  </si>
  <si>
    <r>
      <t>Nachweis</t>
    </r>
    <r>
      <rPr>
        <sz val="10"/>
        <color theme="1"/>
        <rFont val="Arial"/>
        <family val="2"/>
      </rPr>
      <t>: Planvorlage, Art und Weise</t>
    </r>
  </si>
  <si>
    <t>max. 3</t>
  </si>
  <si>
    <t>Sockelleisten/ wischfester Anstrich im Sockelbereich</t>
  </si>
  <si>
    <t>Schutz des Sockelbereichs von Wänden vor Verschmutzung und Beschädigung durch die Fußbodenreinigung</t>
  </si>
  <si>
    <t>Vorhanden</t>
  </si>
  <si>
    <r>
      <t>Nachweis</t>
    </r>
    <r>
      <rPr>
        <sz val="10"/>
        <color theme="1"/>
        <rFont val="Arial"/>
        <family val="2"/>
      </rPr>
      <t>: ja/ nein; Beschreibung Art und Weise</t>
    </r>
  </si>
  <si>
    <t>max. 2</t>
  </si>
  <si>
    <t>Inspektions- und wartungsrelevante Technische Anlagen</t>
  </si>
  <si>
    <t>Revisionierbarkeit</t>
  </si>
  <si>
    <t>Gegeben</t>
  </si>
  <si>
    <t>Beschriftung</t>
  </si>
  <si>
    <r>
      <t>Nachweis</t>
    </r>
    <r>
      <rPr>
        <sz val="10"/>
        <color theme="1"/>
        <rFont val="Arial"/>
        <family val="2"/>
      </rPr>
      <t>: ja/ nein; Beschreibung Art und Weise; Abstimmungsprotokoll</t>
    </r>
  </si>
  <si>
    <t xml:space="preserve">max. 4 </t>
  </si>
  <si>
    <t>Reinigungs- und Instandhaltungsfreundlichkeit</t>
  </si>
  <si>
    <t>Biodiversität und Klimawandelanpassung</t>
  </si>
  <si>
    <t>Regenwassernutzung</t>
  </si>
  <si>
    <t>Punkte 
(gesamt max. 10)</t>
  </si>
  <si>
    <r>
      <t xml:space="preserve">Nachweis OIB RL-6; KB* &lt; 0,4 kWh/(m³a) </t>
    </r>
    <r>
      <rPr>
        <i/>
        <u/>
        <sz val="10"/>
        <rFont val="Arial"/>
        <family val="2"/>
      </rPr>
      <t>oder</t>
    </r>
    <r>
      <rPr>
        <sz val="10"/>
        <rFont val="Arial"/>
        <family val="2"/>
      </rPr>
      <t xml:space="preserve"> Nachweis PHPP Überschreitung 26 °C &lt; 1 % (Jahresbetrachtung)</t>
    </r>
  </si>
  <si>
    <t>Bestimmung der maximal zulässigen Übertemperaturgradstunden</t>
  </si>
  <si>
    <t xml:space="preserve">Nutzungsstunden pro Jahr </t>
  </si>
  <si>
    <t>h/a</t>
  </si>
  <si>
    <t>Übertemperaturgradstunden (maximal zulässig)</t>
  </si>
  <si>
    <t>Kh/a</t>
  </si>
  <si>
    <t>Max. 5</t>
  </si>
  <si>
    <t>bis zu einer Gebäudefassade begrünt oder entsprechend ein anderes Bauwerk</t>
  </si>
  <si>
    <t>Klimawandelanpassung am Gebäude und im Außenraum</t>
  </si>
  <si>
    <t>&gt; 80  % Anteil der Außenfläche sind unversiegelt</t>
  </si>
  <si>
    <t>40 - 60 % Anteil des Außenfläche sind unversiegelt</t>
  </si>
  <si>
    <t>60 - 80 % Anteil des Außenfläche sind unversiegelt</t>
  </si>
  <si>
    <t xml:space="preserve">Naturnah gestaltete Sickerbecken, Mulden oder Gerinne zur temporären Wasserrückhaltung </t>
  </si>
  <si>
    <t>Schutz vor Überschwemmungen</t>
  </si>
  <si>
    <t xml:space="preserve">Darstellung der Fließwege des Niederschlagswassers auf dem Grundstück durch einen Außenanlagenplan im Maßstab 1:200-1:300 </t>
  </si>
  <si>
    <t>Vermeidung von Überhitzung</t>
  </si>
  <si>
    <t>Verwendung von Materialien mit hellen Oberflächen und hohem Rückstrahlevermögen</t>
  </si>
  <si>
    <t>Punkte (gesamt Max. 60)</t>
  </si>
  <si>
    <t xml:space="preserve">Größe der projezierten Dachflächen </t>
  </si>
  <si>
    <r>
      <t>m</t>
    </r>
    <r>
      <rPr>
        <vertAlign val="superscript"/>
        <sz val="10"/>
        <rFont val="Arial"/>
        <family val="2"/>
      </rPr>
      <t>2</t>
    </r>
  </si>
  <si>
    <t>PV Ertrag mit Eigenbedarfsdeckung aus B1.5</t>
  </si>
  <si>
    <t>Primärenergiebedarf korrigiert</t>
  </si>
  <si>
    <r>
      <t>CO</t>
    </r>
    <r>
      <rPr>
        <vertAlign val="subscript"/>
        <sz val="10"/>
        <color theme="1"/>
        <rFont val="Arial"/>
        <family val="2"/>
      </rPr>
      <t>2</t>
    </r>
    <r>
      <rPr>
        <sz val="10"/>
        <color theme="1"/>
        <rFont val="Arial"/>
        <family val="2"/>
      </rPr>
      <t xml:space="preserve"> korrigiert</t>
    </r>
  </si>
  <si>
    <t>Nur aktiv wenn Eigennutzung PV ausgewählt wird</t>
  </si>
  <si>
    <t>Flächen</t>
  </si>
  <si>
    <t>Eingabe Dach- und Grundfläche</t>
  </si>
  <si>
    <t>50 - 75 % Anteil an allen begrünbaren Dächern</t>
  </si>
  <si>
    <t>Statisch angepasste
Modellierung der Substrathöhen (&gt;20 cm auf 5% der begrünten Dachfläche) + eine der folgenden Maßnahmen: 
• Totholzbereiche (&gt; 2 m² Grundfläche) 
• Sand- oder Wandkieslinsen (&gt; 2 m² Grundfläche)
• Wasserflächen, Tümpel &gt; 2 m²
• Verwendung von autochthonem Saatgut</t>
  </si>
  <si>
    <t xml:space="preserve">Größe der begrünbaren projezierten Dachflächen </t>
  </si>
  <si>
    <t>Max. 12</t>
  </si>
  <si>
    <t>Max. 20</t>
  </si>
  <si>
    <t>Übertemperaturgradstunden- unterschreitung um 20 %</t>
  </si>
  <si>
    <t>Vertikalbegrünung</t>
  </si>
  <si>
    <t>Bestimmung des Anteils der begrünbaren Dachfläche an der Gesamtdachfläche. Es ist jeweils die projezierte Dachfläche anzusetzen.</t>
  </si>
  <si>
    <t>Nachweis: siehe KGA Erläuterungen</t>
  </si>
  <si>
    <r>
      <t>Mindest- und Optimalausstattung</t>
    </r>
    <r>
      <rPr>
        <sz val="10"/>
        <rFont val="Arial"/>
        <family val="2"/>
      </rPr>
      <t xml:space="preserve"> (in Abhängkeit von Objektyp, Gemeindekategorie und Ständersystem)</t>
    </r>
  </si>
  <si>
    <r>
      <t xml:space="preserve">Stellplätze
</t>
    </r>
    <r>
      <rPr>
        <sz val="10"/>
        <rFont val="Arial"/>
        <family val="2"/>
      </rPr>
      <t>(aufgerundete Zahlen)</t>
    </r>
  </si>
  <si>
    <r>
      <t>Stellfläche</t>
    </r>
    <r>
      <rPr>
        <sz val="10"/>
        <rFont val="Arial"/>
        <family val="2"/>
      </rPr>
      <t xml:space="preserve"> 
(ohne Rangierfläche)</t>
    </r>
  </si>
  <si>
    <r>
      <t>Zugänglichkeit und Reinigbarkeit von innen- und Außenfenstern</t>
    </r>
    <r>
      <rPr>
        <sz val="8"/>
        <rFont val="Arial"/>
        <family val="2"/>
      </rPr>
      <t> </t>
    </r>
  </si>
  <si>
    <t>Dynamische Gebäudesimulation (zumindest für 3 kritische Räume) bei Einhaltung der maximal zulässigen Übertemperaturgradstunden</t>
  </si>
  <si>
    <r>
      <t xml:space="preserve">Dynamische Gebäudesimulation (zumindest für 3 kritische Räume) bei  Unterschreitung der maximal zulässigen Übertemperaturgradstunden um </t>
    </r>
    <r>
      <rPr>
        <b/>
        <sz val="10"/>
        <rFont val="Arial"/>
        <family val="2"/>
      </rPr>
      <t>20 % *</t>
    </r>
  </si>
  <si>
    <t>* Nähere Ausführungen zu den maximal zulässigen Übertemperaturgradstunden in den Erläuterungen zum KGA
  Die Bezugstemperatur beträgt 25 °C
  Bei einer Nutzungszeit von 2860 h/a dürfen maximal 450 Kh/a (Übertemperaturgradstunden) vorliegen. Wird dieser Wert überschritten, ist das Kriterium nicht erfüllt.
  Eine Berechnungshilfe zur Bestimmung der maximal zulässigen Übertemperaturgradstunden befindet sich rechts auf diesem Tabellenblatt.</t>
  </si>
  <si>
    <t xml:space="preserve"> </t>
  </si>
  <si>
    <t>Gründach mit &gt;= 10 cm Dacherde bei (Mit-) Verwendung von lokalem Boden (mind. 50%) oder Substrat aus lokalem Material (z.B. Grünschnittkompost – Sand-Gemisch) 
PV-Gründach-Kombination 
(trockenheitsverträgliche Vegetation, Substrathöhe im Mittel mind. 8cm) 
Gründach mit überwiegend mineralischem
Substrat &gt; 14 cm (trockenheitsverträgliche Vegetation)</t>
  </si>
  <si>
    <t>Voraussetzung: Nutzung von Ökostrom oder eigenem PV-Strom</t>
  </si>
  <si>
    <r>
      <t>Kommentierung Haustechnik-Schemata und Raumbücher (Heizung &amp; Lüftung) mit energetisch relevanten Auslegungsdaten,</t>
    </r>
    <r>
      <rPr>
        <b/>
        <sz val="10"/>
        <color rgb="FF000000"/>
        <rFont val="Arial"/>
        <family val="2"/>
      </rPr>
      <t xml:space="preserve"> i.d.R. vor der Baueingabe aber jedenfalls vor Ausschreibung der Gebäudetechnik,</t>
    </r>
    <r>
      <rPr>
        <sz val="10"/>
        <color rgb="FF000000"/>
        <rFont val="Arial"/>
        <family val="2"/>
      </rPr>
      <t xml:space="preserve"> du</t>
    </r>
    <r>
      <rPr>
        <sz val="10"/>
        <color indexed="8"/>
        <rFont val="Arial"/>
        <family val="2"/>
      </rPr>
      <t xml:space="preserve">rch externe, fachkundige Personen </t>
    </r>
    <r>
      <rPr>
        <vertAlign val="superscript"/>
        <sz val="10"/>
        <color indexed="8"/>
        <rFont val="Arial"/>
        <family val="2"/>
      </rPr>
      <t>1)</t>
    </r>
  </si>
  <si>
    <t>OI3-Wert Max.</t>
  </si>
  <si>
    <t>OI3-Wert Min.</t>
  </si>
  <si>
    <t>EI10-Wert Max.</t>
  </si>
  <si>
    <t>EI10-Wert Min.</t>
  </si>
  <si>
    <t>Realisierte Stellplätze mehrspurig</t>
  </si>
  <si>
    <t>Mind. 1 Wallbox, bei über 10 Stellplätzen eine weitere Wallbox pro angefangene 10 Stellplätze</t>
  </si>
  <si>
    <t>Pro angefangene 20 Abstellplätze für Fahrräder mindestens eine Lademöglichkeit vorhanden</t>
  </si>
  <si>
    <r>
      <t xml:space="preserve">Vorlage eines unterfertigten Einregulierungsprotokolls für Heizung und Lüftung (Mindestangabe: Volumenströme je Ventil und Strang inkl. Dokumentation der Einstellwerte) - </t>
    </r>
    <r>
      <rPr>
        <i/>
        <sz val="10"/>
        <color rgb="FFFF0000"/>
        <rFont val="Arial"/>
        <family val="2"/>
      </rPr>
      <t>MUSSKRITERIUM</t>
    </r>
  </si>
  <si>
    <t xml:space="preserve">Nachweis ÖNORM B 8110-3 : 2020 Einhaltung mind. Komfortklasse B für alle kritischen Räume und Glasanteil der vertikalen Fassade des Gebäudes &lt;= 35% </t>
  </si>
  <si>
    <t>Nutzung des Regenwassers zur Bewässerung der Außenanlagen</t>
  </si>
  <si>
    <t>Nutzung des Regenwassers für WC- und Urinalspülung</t>
  </si>
  <si>
    <t>Anbindung der Dachfläche der Hauptgebäude an eine Regenwasserzisterne. Dimensionierung: Bevorhaltung des Bedarfs von mind. 2 Wochen (30l pro WC / 10l pro Urinal pro Nutzungstag) oder Dimensionierung nach anschließbarer Dachfläche (40l pro m²)</t>
  </si>
  <si>
    <t>Der KGA-Prüfer bestätigt mit nachstehenden Erklärungen, dass
- die Erstelllung des Kommunalgebäudeausweises mit den erzielten Bewertungspunkten nach fachlich bestem Wissen und Gewissen durchgeführt wurde
- sofern alle für die Ausstellung erforderlichen Unterlagen korrekt  und vollständig übermittelt wurden, ein Prüfer/Aussteller nicht in den Planungs- und Ausführungsprozess des Bauvorhabens eingebunden war und überdies hierfür keinerlei Honorare erhalten hat
- dem KGA-Prüfer bewusst ist, dass,  falls sich nachträglich herausstellt, dass die Bewertungspunkte nicht stimmen sollten, es zu einer Kürzung des Fördersatzes und der maximal anerkennbaren Kosten für die Gemeinde kommen kann.</t>
  </si>
  <si>
    <t>3</t>
  </si>
  <si>
    <t>Einsatz bereits verwendeter Bauprodukte und Bauteile</t>
  </si>
  <si>
    <t>A 1.8 Regenwassernutzung</t>
  </si>
  <si>
    <t>A 1.7 Reinigungs- und Instandhaltungsfreundlichkeit</t>
  </si>
  <si>
    <t>A 1.6 Haustechnik-Konzept</t>
  </si>
  <si>
    <t>A 1.4 Biodiversität und Klimawandelanpassung</t>
  </si>
  <si>
    <t>A 1.3 Produktmanagement - Einsatz regionaler, schadstoffarmer und emissionsarmer Bauprodukte und Konstruktionen</t>
  </si>
  <si>
    <t>Sämtliche Dichtstoffe, inkl. Nassversiegelung von Fenstern</t>
  </si>
  <si>
    <t>Vermeidung von Kufer/Kupferlegierungen und Zink/ Zinklegierungen</t>
  </si>
  <si>
    <t xml:space="preserve">Vermeidung von Kupfer bzw. Kupferlegierungen und Zink bzw. Zinklegierungen im bewitterten Außenbereich </t>
  </si>
  <si>
    <t>Vermeidung von nicht zukunftsfähigen Kältemittel</t>
  </si>
  <si>
    <t>Punkte (gesamt max. 45)</t>
  </si>
  <si>
    <t>D 1.3 Einsatz bereits verwendeter Bauprodukte und Bauteile</t>
  </si>
  <si>
    <t>Einsatz von bereits verwendeter Bauprodukte und Bauteile bei tragenden Elementen</t>
  </si>
  <si>
    <t>Einsatz von bereits verwendeter Bauprodukte und Bauteile bei nicht tragenden Elementen</t>
  </si>
  <si>
    <t>Durchführung eines Architekturwettbewerbes und Festlegung eines Nachhaltigkeitsstandards in Architektenvereinbarungen</t>
  </si>
  <si>
    <t>Fassaden der Haupt- und Nebengebäude begrünt (&gt; 15 % der opaken Fläche der untersten 10m Gebäudehöhe) oder im entsprechenden Ausmaß ein anderes Bauwerk</t>
  </si>
  <si>
    <t>Von einer Gehölzinsel oder Wildhecke (&gt;3 m breit und &gt;5 m lang) mit natürlichem Unterwuchs und heimischen Arten in ihrer Wildform (keine züchterische Form, keine Sorte)</t>
  </si>
  <si>
    <t>Von drei verschiedenen heimischen Sträuchern in ihrer Wildform (keine züchterische Form, keine Sorte)</t>
  </si>
  <si>
    <t xml:space="preserve">Von artenreichen mehrjährigen Blumenwiesen oder Blühstreifen/ Hochstaudensäume mit gebietseigenen Wildpflanzenarten 
(10% der Außenfläche, Einzelfläche mindestens 10 m²). </t>
  </si>
  <si>
    <t>10 % der versiegelten und teilversiegelten Außenfläche wird oberirdisch zurückgehalten oder versickert</t>
  </si>
  <si>
    <t>Abstand von überdachten Abstellanlagen &gt; 30 m</t>
  </si>
  <si>
    <t>Anbindung der Dachfläche der Hauptgebäude an eine Regenwasserzisterne. Dimensionierung: Bevorhaltung des Bedarfs von mind. 2 Wochen (40l pro m² zu bewässernde Außenfläche) oder nach anschließbarer Dachfläche (40l pro m²)</t>
  </si>
  <si>
    <t>Wasser-, Abwasser- sowie Zu- und Abluftrohre im (Projekt bis Kanalschluss)</t>
  </si>
  <si>
    <t>Vermeidung von PVC,  Kältemittel, Kupfer/Zink und Bioziden</t>
  </si>
  <si>
    <t>M</t>
  </si>
  <si>
    <r>
      <rPr>
        <b/>
        <sz val="10"/>
        <rFont val="Arial"/>
        <family val="2"/>
      </rPr>
      <t>Konstruktiver Holzbau</t>
    </r>
    <r>
      <rPr>
        <sz val="10"/>
        <rFont val="Arial"/>
        <family val="2"/>
      </rPr>
      <t xml:space="preserve"> </t>
    </r>
    <r>
      <rPr>
        <sz val="8"/>
        <rFont val="Arial"/>
        <family val="2"/>
      </rPr>
      <t>(Bepunktung nur bei Holz- bzw. Mischbauten)</t>
    </r>
  </si>
  <si>
    <r>
      <rPr>
        <b/>
        <sz val="10"/>
        <rFont val="Arial"/>
        <family val="2"/>
      </rPr>
      <t>Fassade</t>
    </r>
    <r>
      <rPr>
        <sz val="10"/>
        <rFont val="Arial"/>
        <family val="2"/>
      </rPr>
      <t xml:space="preserve"> (bei mehr als der Hälfte der Fassadenfläche)</t>
    </r>
  </si>
  <si>
    <t>Bei Erreichbarkeit maximal 3 m über dem Fußboden oder eines Reinigungsgangs für mind. jeweils 70% der Innen- und Außenglasflächen</t>
  </si>
  <si>
    <t>Bei Erreichbarkeit über 3 m über dem Fußboden oder eines Reinigungsgangs und  mit Reinigungsstange reinigbar für mind. jeweils 70% der Innen- und Außenglasflächen</t>
  </si>
  <si>
    <t>D 1.1 Vermeidung von PVC, Kältemittel, Kupfer/ Zink  und Biozide</t>
  </si>
  <si>
    <r>
      <rPr>
        <b/>
        <sz val="22"/>
        <rFont val="Arial"/>
        <family val="2"/>
      </rPr>
      <t xml:space="preserve">Kommunalgebäudeausweis Vorarlberg - Neubau/Sanierung - </t>
    </r>
    <r>
      <rPr>
        <b/>
        <sz val="11"/>
        <rFont val="Arial"/>
        <family val="2"/>
      </rPr>
      <t>Version 2025-1</t>
    </r>
    <r>
      <rPr>
        <b/>
        <sz val="22"/>
        <rFont val="Arial"/>
        <family val="2"/>
      </rPr>
      <t xml:space="preserve">
</t>
    </r>
    <r>
      <rPr>
        <b/>
        <sz val="12"/>
        <rFont val="Arial"/>
        <family val="2"/>
      </rPr>
      <t>gemäß den Bestimmungen der Richtlinie der Vorarlberger Landesregierung 
zur Gewährung von Bedarfszuweisungsmittel, 2025
Gemeindeamtsgebäude, Pflichtschulen inkl. Mehrzweck- und Turnhallen, Kultursäle, Pflegeheime, Kindergärten, Kinderbetreuungseinrichtungen</t>
    </r>
  </si>
  <si>
    <t>Punkte (gesamt max. 120)</t>
  </si>
  <si>
    <t xml:space="preserve">2. Berücksichtigung ökologischer Kriterien in den relevanten Ausschreibungen und Aufträgen </t>
  </si>
  <si>
    <t>100 % aller Ausschreibungen mit allen Kriterien ökologisch ausgeschrieben</t>
  </si>
  <si>
    <t>3. Produktdeklaration</t>
  </si>
  <si>
    <t>Baustellenbegehungen und Dokumentation
regelmäßig dem Baufortschritt entsprechend</t>
  </si>
  <si>
    <t>Stichprobenartig (mehr als 3 Gewerke nicht erfasst oder andere Anforderungen an Begehungen/ Dokumentationen abweichend von der Festlegung in den Erläuterungen)</t>
  </si>
  <si>
    <t>5. Förderung regionaler Holzwirtschaft durch die Kommune</t>
  </si>
  <si>
    <t>Beim Einsatz von nachweislich regionalem Holz (Nachweis über „Holz-von-Hier“ Zertifikate oder nachweislich Einhaltung aller „Holz-von-Hier“ Kriterien) werden die Punkte in der linken Spalte vergeben. 
Wird Fichte, Tanne, Esche oder Buche eingesetzt und nicht nachweislich regionales Holz gemäß den hier vorliegenden Bestimmungen eingesetzt, werden die Punkte der rechten Spalte vergeben.</t>
  </si>
  <si>
    <r>
      <t xml:space="preserve">Fenster </t>
    </r>
    <r>
      <rPr>
        <sz val="10"/>
        <rFont val="Arial"/>
        <family val="2"/>
      </rPr>
      <t>mind. 80% aus entsprechendem Holz und 100% der Fenster PVC-frei</t>
    </r>
  </si>
  <si>
    <r>
      <rPr>
        <b/>
        <sz val="10"/>
        <rFont val="Arial"/>
        <family val="2"/>
      </rPr>
      <t>Fußbodenbelag Massivholz</t>
    </r>
    <r>
      <rPr>
        <sz val="10"/>
        <rFont val="Arial"/>
        <family val="2"/>
      </rPr>
      <t xml:space="preserve"> (z.B. Massivparkett, Dielenboden; </t>
    </r>
    <r>
      <rPr>
        <sz val="10"/>
        <color theme="1"/>
        <rFont val="Arial"/>
        <family val="2"/>
      </rPr>
      <t>Mehrschichtparkett mit einer Nutzschichtstärke von mind. 6mm; mehr als die Hälfte der konditionierten Flächen (Zonen mit einer geplanten Raumtemperatur von mind. 18°C) als Vollholzkonstruktion)</t>
    </r>
  </si>
  <si>
    <t>Ökobaukriterien</t>
  </si>
  <si>
    <r>
      <t xml:space="preserve">4. Ökologische Bauaufsicht </t>
    </r>
    <r>
      <rPr>
        <sz val="10"/>
        <rFont val="Arial"/>
        <family val="2"/>
      </rPr>
      <t>(Punktevergabe nur möglich, wenn auch Punkte bei 2. und 3. vergeben wurden)</t>
    </r>
  </si>
  <si>
    <t>Mit HVH Nachweis oder gleichwertig (Nachweisliche Einhaltung HVH Kriterien)</t>
  </si>
  <si>
    <t>Ohne HvH Nachweis</t>
  </si>
  <si>
    <t>max. 30</t>
  </si>
  <si>
    <t xml:space="preserve">Von artenreichen mehrjährigen Blumenwiesen, Blühstreifen/ Hochstaudensäume, naturnahen Spielräumen mit hauptsächlich heimischen Wildpflanzenarten 
(25% der Außenfläche, Einzelfläche mindestens 10 m²). </t>
  </si>
  <si>
    <t>Konzept für den Betrieb und Wartung der technischen Anlagen mit Regel- und Messkonzept (Lastenheft) inkl. Einschulung der relevanten Personen (Bestätigung). Das Konzept soll hierbei die schalttechnischen Zusammenhänge ebenso beschreiben wie die getroffenen Einstellungen. Die eingeschulte Person sollte in regelmäßigen Abständen die Verbrauchszähler ablesen (evt. einsehbar über die GLT) und dokumentieren, damit etwaige Überverbräuche festgestellt und bei Bedarf die Einstellungen hin zu einem niedrigen Energieverbrauch optimiert werden können.</t>
  </si>
  <si>
    <r>
      <t xml:space="preserve">1) der rollierende Austausch mit externen, fachkundigen Personen zählen in diesem Zusammenhang Fachpersonen (Ingenieure der Gebäudetechnik, Versorgungstechnik, Heizungs- und Lüftungstechnik, Energieingenieurwesen (Schwerpunkt Gebäude), Technischen Gebäudeausrüstung </t>
    </r>
    <r>
      <rPr>
        <i/>
        <u/>
        <sz val="10"/>
        <rFont val="Arial"/>
        <family val="2"/>
      </rPr>
      <t>oder</t>
    </r>
    <r>
      <rPr>
        <sz val="10"/>
        <rFont val="Arial"/>
        <family val="2"/>
      </rPr>
      <t xml:space="preserve"> HTL-Absolventen mit Schwerpunkt Technische Gebäudeausrüstung </t>
    </r>
    <r>
      <rPr>
        <i/>
        <u/>
        <sz val="10"/>
        <rFont val="Arial"/>
        <family val="2"/>
      </rPr>
      <t>oder</t>
    </r>
    <r>
      <rPr>
        <sz val="10"/>
        <rFont val="Arial"/>
        <family val="2"/>
      </rPr>
      <t xml:space="preserve"> Meister der Heizungs- und Lüftungstechnik </t>
    </r>
    <r>
      <rPr>
        <i/>
        <u/>
        <sz val="10"/>
        <rFont val="Arial"/>
        <family val="2"/>
      </rPr>
      <t>oder</t>
    </r>
    <r>
      <rPr>
        <sz val="10"/>
        <rFont val="Arial"/>
        <family val="2"/>
      </rPr>
      <t xml:space="preserve"> Mitarbeiter in HSL-Planungsbüros mit mind. 5 Jahren Berufserfahrung. Diese externe Personen dürfen hierbei nicht im selben Planungsbüro arbeiten, welches mit der Anlagenplanung beauftragt ist.</t>
    </r>
  </si>
  <si>
    <t>Nebenrechnung:</t>
  </si>
  <si>
    <t>Auswahl Dimensionierungsart</t>
  </si>
  <si>
    <t>Bewässerung/WCs</t>
  </si>
  <si>
    <t>Nutzungstage Gebäude pro Woche</t>
  </si>
  <si>
    <t>Anzahl WC's</t>
  </si>
  <si>
    <t>Anzahl Urinale</t>
  </si>
  <si>
    <t>Zu bewässernde Außenanlagen (m²)</t>
  </si>
  <si>
    <t>Anschließbare Dachfläche (m²)</t>
  </si>
  <si>
    <t>Dimensionierung der Zisterne (l)</t>
  </si>
  <si>
    <t>Dachfläche</t>
  </si>
  <si>
    <r>
      <rPr>
        <sz val="10"/>
        <rFont val="Arial"/>
        <family val="2"/>
      </rPr>
      <t xml:space="preserve">Einsatz von Kältemittel mit reduzierten Klimafolgen bei Wärmepumpen                                                                           GWP &lt; 150 </t>
    </r>
    <r>
      <rPr>
        <b/>
        <sz val="10"/>
        <rFont val="Arial"/>
        <family val="2"/>
      </rPr>
      <t xml:space="preserve">
 </t>
    </r>
  </si>
  <si>
    <t>mindestens 30 % des Betonvolumens aller Expositionsklassen werden als RC-Beton ausgeführt;
bei diesem Betonvolumen ist der Betonzuschlag mit einem Anteil von mindestens 25 Massen-% der Gesteinskörnungen aus Recyclingmaterial auszuführen; Nachweis über Kennzeichnung auf den Lieferscheinen bzw. mittels Eignungsprüfung Formblatt 1.1 (EN 206)</t>
  </si>
  <si>
    <t>Verwendung von CO2-armem Zement als Bindemittel bei mind. 70% des technisch umsetzbaren Betonvolumens;
 Nachweis über Kennzeichnung auf den Lieferscheinen</t>
  </si>
  <si>
    <t xml:space="preserve">Nebenrechnung </t>
  </si>
  <si>
    <t>Gesamtvolumen [in m³]</t>
  </si>
  <si>
    <t>Baustoffe mit erheblichem Recyclinganteil [in m³]</t>
  </si>
  <si>
    <t xml:space="preserve">Recyclinganteil </t>
  </si>
  <si>
    <t>GWP Total Max. CO2 equ. / m² BZF</t>
  </si>
  <si>
    <t>GWP Total Min. CO2 equ. / m² BZF</t>
  </si>
  <si>
    <t>55 Punkte</t>
  </si>
  <si>
    <r>
      <t>GWP</t>
    </r>
    <r>
      <rPr>
        <vertAlign val="subscript"/>
        <sz val="10"/>
        <rFont val="Arial"/>
        <family val="2"/>
      </rPr>
      <t xml:space="preserve"> Total</t>
    </r>
    <r>
      <rPr>
        <sz val="10"/>
        <rFont val="Arial"/>
        <family val="2"/>
      </rPr>
      <t xml:space="preserve"> CO2 equ. / m² BZF</t>
    </r>
  </si>
  <si>
    <t>Ökologische Kennwerte des Gebäudes (OI3 BG3, GWP Total)</t>
  </si>
  <si>
    <t>Für jedes relevante Gewerk, welches nicht mit allen relevanten Kriterien ökologisch ausgeschrieben
wurde, werden 5 Punkte abgezogen. Dieser Punkteabzug kommt auch bei nachträglichen 
Beauftragungen abweichend von den ökologischen Kriterien zur Anwendung</t>
  </si>
  <si>
    <r>
      <t xml:space="preserve">Kommunalgebäudeausweis Vorarlberg - Neubau/Sanierung </t>
    </r>
    <r>
      <rPr>
        <b/>
        <sz val="11"/>
        <color rgb="FF000000"/>
        <rFont val="Arial"/>
        <family val="2"/>
      </rPr>
      <t xml:space="preserve">- Version 2025-1
</t>
    </r>
    <r>
      <rPr>
        <b/>
        <sz val="12"/>
        <color rgb="FF000000"/>
        <rFont val="Arial"/>
        <family val="2"/>
      </rPr>
      <t>gemäß den Bestimmungen der Richtlinie der Vorarlberger Landesregierung 
zur Gewährung von Bedarfszuweisungsmittel, 2025</t>
    </r>
  </si>
  <si>
    <t>Dokumentation zur ökologischen Bauteiloptimierung im Rahmen der Planungsphase vorhanden</t>
  </si>
  <si>
    <t>Nebenrechnung</t>
  </si>
  <si>
    <t>Fläche in m²</t>
  </si>
  <si>
    <t>Außenfläche gesamt</t>
  </si>
  <si>
    <t>Außenfläche teilversiegelt</t>
  </si>
  <si>
    <t>Außenfläche versiegelt</t>
  </si>
  <si>
    <t>Außenfläche nicht versiegelt</t>
  </si>
  <si>
    <t xml:space="preserve">Versiegelungsgrad </t>
  </si>
  <si>
    <t>A 1.5 Fahrradabstellplätze und Elektromobilität (max. 30 Punkte)</t>
  </si>
  <si>
    <r>
      <t xml:space="preserve">Punkte OI3 </t>
    </r>
    <r>
      <rPr>
        <sz val="12"/>
        <rFont val="Arial"/>
        <family val="2"/>
      </rPr>
      <t>(max. 110 Punkte)</t>
    </r>
  </si>
  <si>
    <r>
      <t xml:space="preserve">Punkte GWP </t>
    </r>
    <r>
      <rPr>
        <sz val="12"/>
        <rFont val="Arial"/>
        <family val="2"/>
      </rPr>
      <t>(max. 55 Punkte)</t>
    </r>
  </si>
  <si>
    <r>
      <t xml:space="preserve">Summe Punkte Gesamt </t>
    </r>
    <r>
      <rPr>
        <sz val="12"/>
        <rFont val="Arial"/>
        <family val="2"/>
      </rPr>
      <t>(max. 165 Punkte)</t>
    </r>
  </si>
  <si>
    <r>
      <t>Punkte EI10</t>
    </r>
    <r>
      <rPr>
        <sz val="12"/>
        <rFont val="Arial"/>
        <family val="2"/>
      </rPr>
      <t xml:space="preserve"> (max. 55 Punkte)</t>
    </r>
  </si>
  <si>
    <t>Alle relevanten Gewerke, die mit ökologischen Kriterien ausgeschrieben wurden, haben die eingesetzten Bauprodukte in PD-Listen deklariert. Alle in den PD-Listen angeführten Bauprodukte wurden auf Konformität zu den lt. Ausschreibung einzuhaltenden ökologischen Kriterien überprüft.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</si>
</sst>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 &quot;€&quot;;[Red]\-#,##0.00\ &quot;€&quot;"/>
    <numFmt numFmtId="165" formatCode="0&quot;.&quot;"/>
    <numFmt numFmtId="166" formatCode="&quot;max. &quot;0"/>
    <numFmt numFmtId="167" formatCode="#,##0_ ;\-#,##0\ "/>
    <numFmt numFmtId="168" formatCode="0.0000"/>
    <numFmt numFmtId="169" formatCode="0.0"/>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12"/>
      <name val="Arial"/>
      <family val="2"/>
    </font>
    <font>
      <sz val="8"/>
      <name val="Arial"/>
      <family val="2"/>
    </font>
    <font>
      <b/>
      <sz val="10"/>
      <name val="Arial"/>
      <family val="2"/>
    </font>
    <font>
      <b/>
      <sz val="12"/>
      <name val="Arial"/>
      <family val="2"/>
    </font>
    <font>
      <sz val="10"/>
      <color indexed="10"/>
      <name val="Arial"/>
      <family val="2"/>
    </font>
    <font>
      <sz val="12"/>
      <name val="Arial"/>
      <family val="2"/>
    </font>
    <font>
      <b/>
      <sz val="12"/>
      <name val="L Frutiger Light"/>
    </font>
    <font>
      <i/>
      <sz val="10"/>
      <name val="Arial"/>
      <family val="2"/>
    </font>
    <font>
      <b/>
      <sz val="18"/>
      <name val="Arial"/>
      <family val="2"/>
    </font>
    <font>
      <b/>
      <sz val="22"/>
      <name val="Arial"/>
      <family val="2"/>
    </font>
    <font>
      <sz val="10"/>
      <color indexed="8"/>
      <name val="Arial"/>
      <family val="2"/>
    </font>
    <font>
      <sz val="10"/>
      <color indexed="63"/>
      <name val="Arial"/>
      <family val="2"/>
    </font>
    <font>
      <b/>
      <sz val="12"/>
      <color indexed="10"/>
      <name val="Arial"/>
      <family val="2"/>
    </font>
    <font>
      <b/>
      <sz val="10"/>
      <color indexed="8"/>
      <name val="Arial"/>
      <family val="2"/>
    </font>
    <font>
      <b/>
      <vertAlign val="subscript"/>
      <sz val="10"/>
      <name val="Arial"/>
      <family val="2"/>
    </font>
    <font>
      <b/>
      <sz val="12"/>
      <color indexed="8"/>
      <name val="Arial"/>
      <family val="2"/>
    </font>
    <font>
      <sz val="11"/>
      <color indexed="6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u/>
      <sz val="10"/>
      <color indexed="12"/>
      <name val="Arial"/>
      <family val="2"/>
    </font>
    <font>
      <sz val="8"/>
      <name val="Arial"/>
      <family val="2"/>
    </font>
    <font>
      <b/>
      <sz val="16"/>
      <name val="Arial"/>
      <family val="2"/>
    </font>
    <font>
      <sz val="16"/>
      <name val="Arial"/>
      <family val="2"/>
    </font>
    <font>
      <b/>
      <sz val="16"/>
      <name val="L Frutiger Light"/>
    </font>
    <font>
      <b/>
      <sz val="10"/>
      <color indexed="63"/>
      <name val="Arial"/>
      <family val="2"/>
    </font>
    <font>
      <b/>
      <sz val="11"/>
      <name val="Arial"/>
      <family val="2"/>
    </font>
    <font>
      <b/>
      <sz val="11"/>
      <color indexed="8"/>
      <name val="Arial"/>
      <family val="2"/>
    </font>
    <font>
      <sz val="11"/>
      <name val="Arial"/>
      <family val="2"/>
    </font>
    <font>
      <b/>
      <sz val="9"/>
      <name val="Arial"/>
      <family val="2"/>
    </font>
    <font>
      <b/>
      <sz val="14"/>
      <name val="Arial"/>
      <family val="2"/>
    </font>
    <font>
      <b/>
      <vertAlign val="subscript"/>
      <sz val="10"/>
      <color indexed="8"/>
      <name val="Arial"/>
      <family val="2"/>
    </font>
    <font>
      <sz val="10"/>
      <name val="Arial"/>
      <family val="2"/>
    </font>
    <font>
      <b/>
      <sz val="11"/>
      <color rgb="FF3F3F3F"/>
      <name val="Calibri"/>
      <family val="2"/>
      <scheme val="minor"/>
    </font>
    <font>
      <sz val="11"/>
      <color theme="1"/>
      <name val="Calibri"/>
      <family val="2"/>
      <scheme val="minor"/>
    </font>
    <font>
      <sz val="11"/>
      <color rgb="FF3F3F76"/>
      <name val="Calibri"/>
      <family val="2"/>
      <scheme val="minor"/>
    </font>
    <font>
      <sz val="11"/>
      <color theme="1"/>
      <name val="Arial"/>
      <family val="2"/>
    </font>
    <font>
      <sz val="10"/>
      <color theme="1"/>
      <name val="Arial"/>
      <family val="2"/>
    </font>
    <font>
      <sz val="12"/>
      <color theme="1"/>
      <name val="Arial"/>
      <family val="2"/>
    </font>
    <font>
      <sz val="10"/>
      <color rgb="FF3F3F76"/>
      <name val="Arial"/>
      <family val="2"/>
    </font>
    <font>
      <b/>
      <sz val="10"/>
      <color theme="1"/>
      <name val="Arial"/>
      <family val="2"/>
    </font>
    <font>
      <b/>
      <sz val="11"/>
      <color theme="1"/>
      <name val="Calibri"/>
      <family val="2"/>
      <scheme val="minor"/>
    </font>
    <font>
      <b/>
      <sz val="10"/>
      <color theme="1"/>
      <name val="Calibri"/>
      <family val="2"/>
      <scheme val="minor"/>
    </font>
    <font>
      <sz val="10"/>
      <color theme="1"/>
      <name val="Calibri"/>
      <family val="2"/>
      <scheme val="minor"/>
    </font>
    <font>
      <b/>
      <sz val="12"/>
      <color theme="1"/>
      <name val="Arial"/>
      <family val="2"/>
    </font>
    <font>
      <sz val="11"/>
      <color theme="0"/>
      <name val="Calibri"/>
      <family val="2"/>
      <scheme val="minor"/>
    </font>
    <font>
      <sz val="9"/>
      <color theme="1"/>
      <name val="Arial"/>
      <family val="2"/>
    </font>
    <font>
      <b/>
      <sz val="11"/>
      <color theme="1"/>
      <name val="Arial"/>
      <family val="2"/>
    </font>
    <font>
      <sz val="8"/>
      <color theme="1"/>
      <name val="Arial"/>
      <family val="2"/>
    </font>
    <font>
      <sz val="11"/>
      <color theme="0"/>
      <name val="Arial"/>
      <family val="2"/>
    </font>
    <font>
      <sz val="11"/>
      <color rgb="FFFF0000"/>
      <name val="Calibri"/>
      <family val="2"/>
      <scheme val="minor"/>
    </font>
    <font>
      <sz val="10"/>
      <color theme="0"/>
      <name val="Arial"/>
      <family val="2"/>
    </font>
    <font>
      <b/>
      <sz val="22"/>
      <color rgb="FF000000"/>
      <name val="Arial"/>
      <family val="2"/>
    </font>
    <font>
      <b/>
      <sz val="11"/>
      <color rgb="FF000000"/>
      <name val="Arial"/>
      <family val="2"/>
    </font>
    <font>
      <b/>
      <sz val="12"/>
      <color rgb="FF000000"/>
      <name val="Arial"/>
      <family val="2"/>
    </font>
    <font>
      <b/>
      <i/>
      <sz val="8"/>
      <color rgb="FFFF0000"/>
      <name val="Arial"/>
      <family val="2"/>
    </font>
    <font>
      <vertAlign val="subscript"/>
      <sz val="10"/>
      <color theme="1"/>
      <name val="Arial"/>
      <family val="2"/>
    </font>
    <font>
      <b/>
      <vertAlign val="subscript"/>
      <sz val="10"/>
      <color theme="1"/>
      <name val="Arial"/>
      <family val="2"/>
    </font>
    <font>
      <sz val="10"/>
      <color rgb="FFFF0000"/>
      <name val="Arial"/>
      <family val="2"/>
    </font>
    <font>
      <sz val="11"/>
      <color rgb="FFFF0000"/>
      <name val="Arial"/>
      <family val="2"/>
    </font>
    <font>
      <sz val="12"/>
      <color theme="0"/>
      <name val="Arial"/>
      <family val="2"/>
    </font>
    <font>
      <b/>
      <vertAlign val="subscript"/>
      <sz val="12"/>
      <name val="Arial"/>
      <family val="2"/>
    </font>
    <font>
      <b/>
      <sz val="16"/>
      <color theme="1"/>
      <name val="Arial"/>
      <family val="2"/>
    </font>
    <font>
      <b/>
      <sz val="11"/>
      <color rgb="FFFF0000"/>
      <name val="Arial"/>
      <family val="2"/>
    </font>
    <font>
      <vertAlign val="subscript"/>
      <sz val="11"/>
      <color theme="1"/>
      <name val="Arial"/>
      <family val="2"/>
    </font>
    <font>
      <b/>
      <i/>
      <sz val="16"/>
      <name val="Arial"/>
      <family val="2"/>
    </font>
    <font>
      <sz val="11"/>
      <color indexed="62"/>
      <name val="Arial"/>
      <family val="2"/>
    </font>
    <font>
      <i/>
      <u/>
      <sz val="10"/>
      <name val="Arial"/>
      <family val="2"/>
    </font>
    <font>
      <vertAlign val="superscript"/>
      <sz val="10"/>
      <color indexed="8"/>
      <name val="Arial"/>
      <family val="2"/>
    </font>
    <font>
      <b/>
      <vertAlign val="subscript"/>
      <sz val="11"/>
      <name val="Arial"/>
      <family val="2"/>
    </font>
    <font>
      <b/>
      <sz val="10"/>
      <color rgb="FF000000"/>
      <name val="Arial"/>
      <family val="2"/>
    </font>
    <font>
      <b/>
      <sz val="12"/>
      <color indexed="64"/>
      <name val="Arial"/>
      <family val="2"/>
    </font>
    <font>
      <sz val="10"/>
      <color rgb="FF000000"/>
      <name val="Arial"/>
      <family val="2"/>
    </font>
    <font>
      <vertAlign val="superscript"/>
      <sz val="10"/>
      <name val="Arial"/>
      <family val="2"/>
    </font>
    <font>
      <sz val="11"/>
      <name val="Calibri"/>
      <family val="2"/>
      <scheme val="minor"/>
    </font>
    <font>
      <sz val="9"/>
      <name val="Arial"/>
      <family val="2"/>
    </font>
    <font>
      <i/>
      <sz val="10"/>
      <color rgb="FFFF0000"/>
      <name val="Arial"/>
      <family val="2"/>
    </font>
    <font>
      <vertAlign val="subscript"/>
      <sz val="10"/>
      <name val="Arial"/>
      <family val="2"/>
    </font>
  </fonts>
  <fills count="65">
    <fill>
      <patternFill patternType="none"/>
    </fill>
    <fill>
      <patternFill patternType="gray125"/>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55"/>
      </patternFill>
    </fill>
    <fill>
      <patternFill patternType="solid">
        <fgColor indexed="55"/>
        <bgColor indexed="64"/>
      </patternFill>
    </fill>
    <fill>
      <patternFill patternType="solid">
        <fgColor rgb="FFF2F2F2"/>
      </patternFill>
    </fill>
    <fill>
      <patternFill patternType="solid">
        <fgColor rgb="FFFFCC99"/>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249977111117893"/>
        <bgColor indexed="64"/>
      </patternFill>
    </fill>
    <fill>
      <patternFill patternType="solid">
        <fgColor theme="9" tint="0.39997558519241921"/>
        <bgColor indexed="47"/>
      </patternFill>
    </fill>
    <fill>
      <patternFill patternType="solid">
        <fgColor rgb="FF538ED5"/>
        <bgColor indexed="64"/>
      </patternFill>
    </fill>
    <fill>
      <patternFill patternType="solid">
        <fgColor theme="9" tint="0.39997558519241921"/>
        <bgColor indexed="64"/>
      </patternFill>
    </fill>
    <fill>
      <patternFill patternType="solid">
        <fgColor rgb="FFC4D79B"/>
        <bgColor indexed="64"/>
      </patternFill>
    </fill>
    <fill>
      <patternFill patternType="solid">
        <fgColor theme="3" tint="0.39997558519241921"/>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indexed="47"/>
        <bgColor indexed="47"/>
      </patternFill>
    </fill>
    <fill>
      <patternFill patternType="solid">
        <fgColor theme="6" tint="0.39997558519241921"/>
        <bgColor indexed="47"/>
      </patternFill>
    </fill>
    <fill>
      <patternFill patternType="solid">
        <fgColor theme="6" tint="0.79998168889431442"/>
        <bgColor indexed="47"/>
      </patternFill>
    </fill>
    <fill>
      <patternFill patternType="solid">
        <fgColor theme="0" tint="-4.9989318521683403E-2"/>
        <bgColor indexed="64"/>
      </patternFill>
    </fill>
    <fill>
      <patternFill patternType="solid">
        <fgColor theme="0" tint="-0.34998626667073579"/>
        <bgColor indexed="64"/>
      </patternFill>
    </fill>
  </fills>
  <borders count="1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medium">
        <color indexed="64"/>
      </top>
      <bottom style="medium">
        <color auto="1"/>
      </bottom>
      <diagonal/>
    </border>
    <border>
      <left style="thin">
        <color rgb="FF3F3F3F"/>
      </left>
      <right style="thin">
        <color rgb="FF3F3F3F"/>
      </right>
      <top style="thin">
        <color rgb="FF3F3F3F"/>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medium">
        <color indexed="64"/>
      </left>
      <right style="medium">
        <color indexed="64"/>
      </right>
      <top style="thin">
        <color indexed="64"/>
      </top>
      <bottom style="thin">
        <color indexed="23"/>
      </bottom>
      <diagonal/>
    </border>
    <border>
      <left style="medium">
        <color indexed="64"/>
      </left>
      <right style="medium">
        <color indexed="64"/>
      </right>
      <top style="thin">
        <color indexed="23"/>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auto="1"/>
      </left>
      <right style="thin">
        <color auto="1"/>
      </right>
      <top style="thin">
        <color auto="1"/>
      </top>
      <bottom style="thin">
        <color indexed="64"/>
      </bottom>
      <diagonal/>
    </border>
    <border>
      <left style="medium">
        <color indexed="64"/>
      </left>
      <right/>
      <top style="thin">
        <color indexed="64"/>
      </top>
      <bottom/>
      <diagonal/>
    </border>
    <border>
      <left style="medium">
        <color auto="1"/>
      </left>
      <right/>
      <top style="thin">
        <color auto="1"/>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rgb="FF3F3F3F"/>
      </top>
      <bottom/>
      <diagonal/>
    </border>
    <border diagonalUp="1">
      <left style="medium">
        <color indexed="64"/>
      </left>
      <right style="medium">
        <color indexed="64"/>
      </right>
      <top style="thin">
        <color indexed="64"/>
      </top>
      <bottom style="thin">
        <color indexed="23"/>
      </bottom>
      <diagonal style="thin">
        <color indexed="64"/>
      </diagonal>
    </border>
    <border diagonalUp="1">
      <left style="medium">
        <color indexed="64"/>
      </left>
      <right style="medium">
        <color indexed="64"/>
      </right>
      <top style="thin">
        <color indexed="23"/>
      </top>
      <bottom style="thin">
        <color indexed="23"/>
      </bottom>
      <diagonal style="thin">
        <color indexed="64"/>
      </diagonal>
    </border>
    <border diagonalUp="1">
      <left style="medium">
        <color indexed="64"/>
      </left>
      <right style="medium">
        <color indexed="64"/>
      </right>
      <top style="thin">
        <color indexed="23"/>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3F3F3F"/>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theme="1"/>
      </left>
      <right style="thin">
        <color theme="1"/>
      </right>
      <top/>
      <bottom style="thin">
        <color theme="1"/>
      </bottom>
      <diagonal/>
    </border>
  </borders>
  <cellStyleXfs count="1112">
    <xf numFmtId="0" fontId="0" fillId="0" borderId="0"/>
    <xf numFmtId="0" fontId="10" fillId="2" borderId="0" applyNumberFormat="0" applyBorder="0" applyAlignment="0" applyProtection="0"/>
    <xf numFmtId="0" fontId="9" fillId="2" borderId="0" applyNumberFormat="0" applyBorder="0" applyAlignment="0" applyProtection="0"/>
    <xf numFmtId="0" fontId="10"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10"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10"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0"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35" fillId="20" borderId="1" applyNumberFormat="0" applyAlignment="0" applyProtection="0"/>
    <xf numFmtId="0" fontId="56" fillId="24" borderId="75" applyNumberFormat="0" applyAlignment="0" applyProtection="0"/>
    <xf numFmtId="0" fontId="35" fillId="20" borderId="1" applyNumberFormat="0" applyAlignment="0" applyProtection="0"/>
    <xf numFmtId="0" fontId="36" fillId="20" borderId="2" applyNumberFormat="0" applyAlignment="0" applyProtection="0"/>
    <xf numFmtId="0" fontId="36" fillId="20" borderId="2" applyNumberFormat="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28" fillId="7" borderId="2" applyNumberFormat="0" applyAlignment="0" applyProtection="0"/>
    <xf numFmtId="0" fontId="58" fillId="25" borderId="76" applyNumberFormat="0" applyAlignment="0" applyProtection="0"/>
    <xf numFmtId="0" fontId="28" fillId="7" borderId="2" applyNumberFormat="0" applyAlignment="0" applyProtection="0"/>
    <xf numFmtId="0" fontId="28" fillId="7" borderId="2" applyNumberFormat="0" applyAlignment="0" applyProtection="0"/>
    <xf numFmtId="0" fontId="58" fillId="25" borderId="76" applyNumberFormat="0" applyAlignment="0" applyProtection="0"/>
    <xf numFmtId="0" fontId="58" fillId="25" borderId="76" applyNumberFormat="0" applyAlignment="0" applyProtection="0"/>
    <xf numFmtId="0" fontId="58" fillId="25" borderId="76" applyNumberFormat="0" applyAlignment="0" applyProtection="0"/>
    <xf numFmtId="0" fontId="58" fillId="25" borderId="76" applyNumberFormat="0" applyAlignment="0" applyProtection="0"/>
    <xf numFmtId="0" fontId="58" fillId="25" borderId="76" applyNumberFormat="0" applyAlignment="0" applyProtection="0"/>
    <xf numFmtId="0" fontId="58" fillId="25" borderId="76" applyNumberFormat="0" applyAlignment="0" applyProtection="0"/>
    <xf numFmtId="0" fontId="58" fillId="25" borderId="76" applyNumberFormat="0" applyAlignment="0" applyProtection="0"/>
    <xf numFmtId="0" fontId="41" fillId="0" borderId="3" applyNumberFormat="0" applyFill="0" applyAlignment="0" applyProtection="0"/>
    <xf numFmtId="0" fontId="41" fillId="0" borderId="3"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3" fillId="4" borderId="0" applyNumberFormat="0" applyBorder="0" applyAlignment="0" applyProtection="0"/>
    <xf numFmtId="0" fontId="33" fillId="4" borderId="0" applyNumberFormat="0" applyBorder="0" applyAlignment="0" applyProtection="0"/>
    <xf numFmtId="0" fontId="43" fillId="0" borderId="0" applyNumberFormat="0" applyFill="0" applyBorder="0" applyAlignment="0" applyProtection="0">
      <alignment vertical="top"/>
      <protection locked="0"/>
    </xf>
    <xf numFmtId="43" fontId="55"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11" fillId="0" borderId="0" applyFont="0" applyFill="0" applyBorder="0" applyAlignment="0" applyProtection="0"/>
    <xf numFmtId="0" fontId="11" fillId="21" borderId="4" applyNumberFormat="0" applyFont="0" applyAlignment="0" applyProtection="0"/>
    <xf numFmtId="0" fontId="11" fillId="21" borderId="4" applyNumberFormat="0" applyFont="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1" fillId="0" borderId="0" applyFont="0" applyFill="0" applyBorder="0" applyAlignment="0" applyProtection="0"/>
    <xf numFmtId="0" fontId="34" fillId="2" borderId="0" applyNumberFormat="0" applyBorder="0" applyAlignment="0" applyProtection="0"/>
    <xf numFmtId="0" fontId="34" fillId="2" borderId="0" applyNumberFormat="0" applyBorder="0" applyAlignment="0" applyProtection="0"/>
    <xf numFmtId="0" fontId="11"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9" fillId="0" borderId="0" applyNumberFormat="0" applyFill="0" applyBorder="0" applyAlignment="0" applyProtection="0"/>
    <xf numFmtId="0" fontId="30" fillId="0" borderId="5"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37" fillId="0" borderId="8" applyNumberFormat="0" applyFill="0" applyAlignment="0" applyProtection="0"/>
    <xf numFmtId="0" fontId="37" fillId="0" borderId="8"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8" fillId="22" borderId="9" applyNumberFormat="0" applyAlignment="0" applyProtection="0"/>
    <xf numFmtId="0" fontId="38" fillId="22" borderId="9" applyNumberFormat="0" applyAlignment="0" applyProtection="0"/>
    <xf numFmtId="0" fontId="57" fillId="40" borderId="0" applyNumberFormat="0" applyBorder="0" applyAlignment="0" applyProtection="0"/>
    <xf numFmtId="0" fontId="57" fillId="41" borderId="0" applyNumberFormat="0" applyBorder="0" applyAlignment="0" applyProtection="0"/>
    <xf numFmtId="0" fontId="68" fillId="42" borderId="0" applyNumberFormat="0" applyBorder="0" applyAlignment="0" applyProtection="0"/>
    <xf numFmtId="0" fontId="57" fillId="43" borderId="0" applyNumberFormat="0" applyBorder="0" applyAlignment="0" applyProtection="0"/>
    <xf numFmtId="0" fontId="68" fillId="44"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68"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68" fillId="50" borderId="0" applyNumberFormat="0" applyBorder="0" applyAlignment="0" applyProtection="0"/>
    <xf numFmtId="0" fontId="57" fillId="51" borderId="0" applyNumberFormat="0" applyBorder="0" applyAlignment="0" applyProtection="0"/>
    <xf numFmtId="0" fontId="57" fillId="52" borderId="0" applyNumberFormat="0" applyBorder="0" applyAlignment="0" applyProtection="0"/>
    <xf numFmtId="0" fontId="68" fillId="53" borderId="0" applyNumberFormat="0" applyBorder="0" applyAlignment="0" applyProtection="0"/>
    <xf numFmtId="0" fontId="57" fillId="54" borderId="0" applyNumberFormat="0" applyBorder="0" applyAlignment="0" applyProtection="0"/>
    <xf numFmtId="0" fontId="57" fillId="55" borderId="0" applyNumberFormat="0" applyBorder="0" applyAlignment="0" applyProtection="0"/>
    <xf numFmtId="0" fontId="68" fillId="56"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60" fillId="0" borderId="0"/>
    <xf numFmtId="0" fontId="28" fillId="60" borderId="2" applyNumberFormat="0"/>
    <xf numFmtId="0" fontId="35" fillId="20" borderId="132" applyNumberFormat="0" applyAlignment="0" applyProtection="0"/>
    <xf numFmtId="0" fontId="35" fillId="20" borderId="132" applyNumberFormat="0" applyAlignment="0" applyProtection="0"/>
    <xf numFmtId="0" fontId="36" fillId="20" borderId="133" applyNumberFormat="0" applyAlignment="0" applyProtection="0"/>
    <xf numFmtId="0" fontId="36" fillId="20" borderId="13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7" borderId="133" applyNumberFormat="0" applyAlignment="0" applyProtection="0"/>
    <xf numFmtId="0" fontId="28" fillId="7" borderId="133" applyNumberFormat="0" applyAlignment="0" applyProtection="0"/>
    <xf numFmtId="0" fontId="41" fillId="0" borderId="134" applyNumberFormat="0" applyFill="0" applyAlignment="0" applyProtection="0"/>
    <xf numFmtId="0" fontId="41" fillId="0" borderId="134"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11" fillId="21" borderId="135" applyNumberFormat="0" applyFont="0" applyAlignment="0" applyProtection="0"/>
    <xf numFmtId="0" fontId="11" fillId="21" borderId="135"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25" borderId="7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1" fillId="0" borderId="0"/>
  </cellStyleXfs>
  <cellXfs count="1039">
    <xf numFmtId="0" fontId="0" fillId="0" borderId="0" xfId="0"/>
    <xf numFmtId="0" fontId="59" fillId="0" borderId="0" xfId="109" applyFont="1"/>
    <xf numFmtId="0" fontId="60" fillId="0" borderId="18" xfId="109" applyFont="1" applyBorder="1" applyAlignment="1">
      <alignment vertical="center"/>
    </xf>
    <xf numFmtId="0" fontId="63" fillId="26" borderId="42" xfId="109" applyFont="1" applyFill="1" applyBorder="1" applyAlignment="1">
      <alignment vertical="center"/>
    </xf>
    <xf numFmtId="0" fontId="11" fillId="29" borderId="33" xfId="72" applyFont="1" applyFill="1" applyBorder="1" applyAlignment="1" applyProtection="1">
      <alignment horizontal="center" vertical="center" wrapText="1"/>
      <protection locked="0"/>
    </xf>
    <xf numFmtId="1" fontId="15" fillId="29" borderId="10" xfId="0" applyNumberFormat="1" applyFont="1" applyFill="1" applyBorder="1" applyAlignment="1" applyProtection="1">
      <alignment horizontal="center" vertical="center" wrapText="1"/>
      <protection locked="0"/>
    </xf>
    <xf numFmtId="14" fontId="15" fillId="29" borderId="10" xfId="0" applyNumberFormat="1" applyFont="1" applyFill="1" applyBorder="1" applyAlignment="1" applyProtection="1">
      <alignment horizontal="center" vertical="center" wrapText="1"/>
      <protection locked="0"/>
    </xf>
    <xf numFmtId="0" fontId="64" fillId="30" borderId="10" xfId="123" applyFont="1" applyFill="1" applyBorder="1"/>
    <xf numFmtId="0" fontId="64" fillId="30" borderId="10" xfId="123" applyFont="1" applyFill="1" applyBorder="1" applyAlignment="1">
      <alignment textRotation="90"/>
    </xf>
    <xf numFmtId="0" fontId="57" fillId="0" borderId="0" xfId="123"/>
    <xf numFmtId="0" fontId="57" fillId="0" borderId="10" xfId="123" applyBorder="1"/>
    <xf numFmtId="0" fontId="65" fillId="31" borderId="10" xfId="123" applyFont="1" applyFill="1" applyBorder="1"/>
    <xf numFmtId="0" fontId="65" fillId="31" borderId="10" xfId="123" applyFont="1" applyFill="1" applyBorder="1" applyAlignment="1">
      <alignment horizontal="center" vertical="center"/>
    </xf>
    <xf numFmtId="0" fontId="11" fillId="32" borderId="10" xfId="123" applyFont="1" applyFill="1" applyBorder="1" applyAlignment="1">
      <alignment horizontal="left" vertical="center"/>
    </xf>
    <xf numFmtId="0" fontId="66" fillId="32" borderId="10" xfId="123" applyFont="1" applyFill="1" applyBorder="1"/>
    <xf numFmtId="0" fontId="57" fillId="0" borderId="10" xfId="123" applyBorder="1" applyAlignment="1">
      <alignment horizontal="center" vertical="center"/>
    </xf>
    <xf numFmtId="0" fontId="57" fillId="0" borderId="43" xfId="123" applyBorder="1" applyAlignment="1">
      <alignment horizontal="center" vertical="center"/>
    </xf>
    <xf numFmtId="0" fontId="57" fillId="0" borderId="44" xfId="123" applyBorder="1" applyAlignment="1">
      <alignment horizontal="center" vertical="center"/>
    </xf>
    <xf numFmtId="0" fontId="57" fillId="0" borderId="32" xfId="123" applyBorder="1" applyAlignment="1">
      <alignment horizontal="center" vertical="center"/>
    </xf>
    <xf numFmtId="0" fontId="66" fillId="0" borderId="0" xfId="123" applyFont="1"/>
    <xf numFmtId="0" fontId="57" fillId="0" borderId="0" xfId="123" applyAlignment="1">
      <alignment horizontal="center" vertical="center"/>
    </xf>
    <xf numFmtId="0" fontId="43" fillId="0" borderId="0" xfId="86" applyBorder="1" applyAlignment="1" applyProtection="1"/>
    <xf numFmtId="168" fontId="57" fillId="0" borderId="10" xfId="123" applyNumberFormat="1" applyBorder="1"/>
    <xf numFmtId="0" fontId="0" fillId="0" borderId="0" xfId="0" applyAlignment="1">
      <alignment vertical="center"/>
    </xf>
    <xf numFmtId="0" fontId="60" fillId="0" borderId="53" xfId="109" applyFont="1" applyBorder="1" applyAlignment="1">
      <alignment vertical="center"/>
    </xf>
    <xf numFmtId="0" fontId="0" fillId="0" borderId="0" xfId="0" applyAlignment="1">
      <alignment horizontal="center" vertical="center"/>
    </xf>
    <xf numFmtId="165" fontId="0" fillId="0" borderId="0" xfId="0" applyNumberFormat="1" applyAlignment="1">
      <alignment horizontal="center" vertical="center"/>
    </xf>
    <xf numFmtId="0" fontId="14" fillId="0" borderId="0" xfId="0" applyFont="1" applyAlignment="1">
      <alignment horizontal="left" vertical="center"/>
    </xf>
    <xf numFmtId="0" fontId="0" fillId="0" borderId="0" xfId="0" applyAlignment="1">
      <alignment vertical="center" wrapText="1"/>
    </xf>
    <xf numFmtId="0" fontId="20" fillId="0" borderId="0" xfId="0" applyFont="1" applyAlignment="1">
      <alignment horizontal="center" vertical="center"/>
    </xf>
    <xf numFmtId="0" fontId="0" fillId="0" borderId="0" xfId="0" applyAlignment="1">
      <alignment horizontal="left" vertical="center"/>
    </xf>
    <xf numFmtId="0" fontId="16"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46" fillId="0" borderId="15" xfId="0" applyFont="1" applyBorder="1" applyAlignment="1">
      <alignment horizontal="center" vertical="center" wrapText="1"/>
    </xf>
    <xf numFmtId="0" fontId="0" fillId="29" borderId="68" xfId="0" applyFill="1" applyBorder="1" applyAlignment="1">
      <alignment horizontal="center" vertical="center"/>
    </xf>
    <xf numFmtId="165" fontId="11" fillId="0" borderId="69" xfId="0" applyNumberFormat="1" applyFont="1" applyBorder="1" applyAlignment="1">
      <alignment horizontal="center" vertical="center"/>
    </xf>
    <xf numFmtId="0" fontId="14" fillId="0" borderId="10" xfId="0" applyFont="1" applyBorder="1" applyAlignment="1">
      <alignment horizontal="center" vertical="center" wrapText="1"/>
    </xf>
    <xf numFmtId="0" fontId="11" fillId="0" borderId="15" xfId="0" applyFont="1" applyBorder="1" applyAlignment="1">
      <alignment vertical="center"/>
    </xf>
    <xf numFmtId="165" fontId="11" fillId="0" borderId="26" xfId="0" applyNumberFormat="1" applyFont="1" applyBorder="1" applyAlignment="1">
      <alignment horizontal="center" vertical="center"/>
    </xf>
    <xf numFmtId="0" fontId="11" fillId="0" borderId="0" xfId="0" applyFont="1" applyAlignment="1">
      <alignment vertical="center" wrapText="1"/>
    </xf>
    <xf numFmtId="1" fontId="18" fillId="26" borderId="46" xfId="0" applyNumberFormat="1" applyFont="1" applyFill="1" applyBorder="1" applyAlignment="1">
      <alignment horizontal="center" vertical="center" wrapText="1"/>
    </xf>
    <xf numFmtId="1" fontId="18" fillId="26" borderId="26" xfId="0" applyNumberFormat="1" applyFont="1" applyFill="1" applyBorder="1" applyAlignment="1">
      <alignment horizontal="center" vertical="center" wrapText="1"/>
    </xf>
    <xf numFmtId="0" fontId="11" fillId="0" borderId="0" xfId="0" applyFont="1" applyAlignment="1">
      <alignment horizontal="center" vertical="center" wrapText="1"/>
    </xf>
    <xf numFmtId="0" fontId="46" fillId="0" borderId="0" xfId="0" applyFont="1" applyAlignment="1">
      <alignment vertical="center"/>
    </xf>
    <xf numFmtId="0" fontId="45" fillId="34" borderId="66" xfId="0" applyFont="1" applyFill="1" applyBorder="1" applyAlignment="1">
      <alignment horizontal="center" vertical="center"/>
    </xf>
    <xf numFmtId="165" fontId="45" fillId="34" borderId="67" xfId="0" applyNumberFormat="1" applyFont="1" applyFill="1" applyBorder="1" applyAlignment="1">
      <alignment horizontal="center" vertical="center"/>
    </xf>
    <xf numFmtId="0" fontId="46" fillId="0" borderId="0" xfId="0" applyFont="1" applyAlignment="1">
      <alignment vertical="center" wrapText="1"/>
    </xf>
    <xf numFmtId="0" fontId="12" fillId="0" borderId="0" xfId="0" applyFont="1" applyAlignment="1">
      <alignment vertical="center"/>
    </xf>
    <xf numFmtId="0" fontId="27" fillId="35" borderId="23" xfId="0" applyFont="1" applyFill="1" applyBorder="1" applyAlignment="1">
      <alignment horizontal="center" vertical="center" wrapText="1"/>
    </xf>
    <xf numFmtId="0" fontId="12" fillId="0" borderId="0" xfId="0" applyFont="1" applyAlignment="1">
      <alignment vertical="center" wrapText="1"/>
    </xf>
    <xf numFmtId="0" fontId="14" fillId="0" borderId="10" xfId="0" applyFont="1" applyBorder="1" applyAlignment="1">
      <alignment vertical="center" wrapText="1"/>
    </xf>
    <xf numFmtId="0" fontId="25" fillId="0" borderId="10" xfId="0" applyFont="1" applyBorder="1" applyAlignment="1">
      <alignment vertical="center" wrapText="1"/>
    </xf>
    <xf numFmtId="0" fontId="15" fillId="37" borderId="18" xfId="0" applyFont="1" applyFill="1" applyBorder="1" applyAlignment="1">
      <alignment horizontal="center" vertical="center"/>
    </xf>
    <xf numFmtId="165" fontId="15" fillId="37" borderId="10" xfId="0" applyNumberFormat="1" applyFont="1" applyFill="1" applyBorder="1" applyAlignment="1">
      <alignment horizontal="center" vertical="center"/>
    </xf>
    <xf numFmtId="0" fontId="15" fillId="37" borderId="10" xfId="0" applyFont="1" applyFill="1" applyBorder="1" applyAlignment="1">
      <alignment vertical="center" wrapText="1"/>
    </xf>
    <xf numFmtId="0" fontId="23" fillId="0" borderId="0" xfId="0" applyFont="1" applyAlignment="1">
      <alignment vertical="center"/>
    </xf>
    <xf numFmtId="0" fontId="48" fillId="0" borderId="18" xfId="0" applyFont="1" applyBorder="1" applyAlignment="1">
      <alignment horizontal="center" vertical="center"/>
    </xf>
    <xf numFmtId="165" fontId="48" fillId="0" borderId="10" xfId="0" applyNumberFormat="1" applyFont="1" applyBorder="1" applyAlignment="1">
      <alignment horizontal="center" vertical="center"/>
    </xf>
    <xf numFmtId="0" fontId="23" fillId="0" borderId="0" xfId="0" applyFont="1" applyAlignment="1">
      <alignment vertical="center" wrapText="1"/>
    </xf>
    <xf numFmtId="0" fontId="11" fillId="0" borderId="0" xfId="0" applyFont="1" applyAlignment="1">
      <alignment vertical="center"/>
    </xf>
    <xf numFmtId="0" fontId="14" fillId="0" borderId="18" xfId="0" applyFont="1" applyBorder="1" applyAlignment="1">
      <alignment horizontal="center" vertical="center"/>
    </xf>
    <xf numFmtId="165" fontId="14" fillId="0" borderId="10" xfId="0" applyNumberFormat="1" applyFont="1" applyBorder="1" applyAlignment="1">
      <alignment horizontal="center" vertical="center"/>
    </xf>
    <xf numFmtId="0" fontId="19" fillId="0" borderId="0" xfId="0" applyFont="1" applyAlignment="1">
      <alignment horizontal="center" vertical="center" wrapText="1"/>
    </xf>
    <xf numFmtId="0" fontId="45" fillId="36" borderId="66" xfId="0" applyFont="1" applyFill="1" applyBorder="1" applyAlignment="1">
      <alignment horizontal="center" vertical="center"/>
    </xf>
    <xf numFmtId="165" fontId="45" fillId="36" borderId="67" xfId="0" applyNumberFormat="1" applyFont="1" applyFill="1" applyBorder="1" applyAlignment="1">
      <alignment horizontal="center" vertical="center"/>
    </xf>
    <xf numFmtId="0" fontId="15" fillId="30" borderId="18" xfId="0" applyFont="1" applyFill="1" applyBorder="1" applyAlignment="1">
      <alignment horizontal="center" vertical="center"/>
    </xf>
    <xf numFmtId="165" fontId="15" fillId="30" borderId="10" xfId="0" applyNumberFormat="1" applyFont="1" applyFill="1" applyBorder="1" applyAlignment="1">
      <alignment horizontal="center" vertical="center"/>
    </xf>
    <xf numFmtId="0" fontId="15" fillId="30" borderId="10" xfId="0" applyFont="1" applyFill="1" applyBorder="1" applyAlignment="1">
      <alignment vertical="center" wrapText="1"/>
    </xf>
    <xf numFmtId="0" fontId="25" fillId="0" borderId="41" xfId="0" applyFont="1" applyBorder="1" applyAlignment="1">
      <alignment vertical="center" wrapText="1"/>
    </xf>
    <xf numFmtId="0" fontId="14" fillId="0" borderId="41" xfId="0" applyFont="1" applyBorder="1" applyAlignment="1">
      <alignment horizontal="center" vertical="center" wrapText="1"/>
    </xf>
    <xf numFmtId="0" fontId="45" fillId="23" borderId="66" xfId="0" applyFont="1" applyFill="1" applyBorder="1" applyAlignment="1">
      <alignment horizontal="center" vertical="center"/>
    </xf>
    <xf numFmtId="165" fontId="45" fillId="23" borderId="67" xfId="0" applyNumberFormat="1" applyFont="1" applyFill="1" applyBorder="1" applyAlignment="1">
      <alignment horizontal="center" vertical="center"/>
    </xf>
    <xf numFmtId="0" fontId="15" fillId="27" borderId="10" xfId="0" applyFont="1" applyFill="1" applyBorder="1" applyAlignment="1">
      <alignment vertical="center" wrapText="1"/>
    </xf>
    <xf numFmtId="0" fontId="15" fillId="27" borderId="23" xfId="0" applyFont="1" applyFill="1" applyBorder="1" applyAlignment="1">
      <alignment horizontal="center" vertical="center" wrapText="1"/>
    </xf>
    <xf numFmtId="1" fontId="18" fillId="0" borderId="0" xfId="0" applyNumberFormat="1" applyFont="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25" fillId="0" borderId="41" xfId="108" applyFont="1" applyBorder="1" applyAlignment="1">
      <alignment vertical="center" wrapText="1"/>
    </xf>
    <xf numFmtId="0" fontId="0" fillId="38" borderId="13" xfId="0" applyFill="1" applyBorder="1" applyAlignment="1">
      <alignment horizontal="center" vertical="center"/>
    </xf>
    <xf numFmtId="1" fontId="53" fillId="38" borderId="10" xfId="0" applyNumberFormat="1" applyFont="1" applyFill="1" applyBorder="1" applyAlignment="1">
      <alignment horizontal="center" vertical="center" wrapText="1"/>
    </xf>
    <xf numFmtId="0" fontId="25" fillId="0" borderId="32" xfId="108" applyFont="1" applyBorder="1" applyAlignment="1">
      <alignment vertical="center" wrapText="1"/>
    </xf>
    <xf numFmtId="0" fontId="14" fillId="0" borderId="43" xfId="0" applyFont="1" applyBorder="1" applyAlignment="1">
      <alignment horizontal="center" vertical="center" wrapText="1"/>
    </xf>
    <xf numFmtId="1" fontId="15" fillId="26" borderId="56" xfId="0" applyNumberFormat="1" applyFont="1" applyFill="1" applyBorder="1" applyAlignment="1">
      <alignment horizontal="center" vertical="center" wrapText="1"/>
    </xf>
    <xf numFmtId="0" fontId="11" fillId="26" borderId="10" xfId="226" applyFont="1" applyFill="1" applyBorder="1" applyAlignment="1">
      <alignment horizontal="right" vertical="center"/>
    </xf>
    <xf numFmtId="0" fontId="7" fillId="0" borderId="10" xfId="123" applyFont="1" applyBorder="1"/>
    <xf numFmtId="0" fontId="57" fillId="57" borderId="10" xfId="123" applyFill="1" applyBorder="1"/>
    <xf numFmtId="0" fontId="14" fillId="0" borderId="79" xfId="0" applyFont="1" applyBorder="1" applyAlignment="1">
      <alignment horizontal="left" vertical="center"/>
    </xf>
    <xf numFmtId="0" fontId="21" fillId="0" borderId="79" xfId="0" applyFont="1" applyBorder="1" applyAlignment="1">
      <alignment horizontal="right" vertical="center" wrapText="1"/>
    </xf>
    <xf numFmtId="0" fontId="12" fillId="0" borderId="10" xfId="0" applyFont="1" applyBorder="1"/>
    <xf numFmtId="0" fontId="53" fillId="0" borderId="10" xfId="0" applyFont="1" applyBorder="1"/>
    <xf numFmtId="0" fontId="12" fillId="0" borderId="10" xfId="0" applyFont="1" applyBorder="1" applyAlignment="1">
      <alignment wrapText="1"/>
    </xf>
    <xf numFmtId="0" fontId="11" fillId="0" borderId="0" xfId="0" applyFont="1"/>
    <xf numFmtId="0" fontId="11" fillId="0" borderId="0" xfId="108"/>
    <xf numFmtId="0" fontId="15" fillId="0" borderId="0" xfId="108" applyFont="1" applyAlignment="1">
      <alignment horizontal="center"/>
    </xf>
    <xf numFmtId="0" fontId="15" fillId="0" borderId="0" xfId="108" applyFont="1" applyAlignment="1">
      <alignment horizontal="center" vertical="center"/>
    </xf>
    <xf numFmtId="0" fontId="11" fillId="0" borderId="0" xfId="108" applyAlignment="1">
      <alignment vertical="center"/>
    </xf>
    <xf numFmtId="0" fontId="22" fillId="0" borderId="18" xfId="108" applyFont="1" applyBorder="1" applyAlignment="1">
      <alignment vertical="center" wrapText="1"/>
    </xf>
    <xf numFmtId="0" fontId="27" fillId="26" borderId="13" xfId="108" applyFont="1" applyFill="1" applyBorder="1" applyAlignment="1">
      <alignment horizontal="center" vertical="center" wrapText="1"/>
    </xf>
    <xf numFmtId="0" fontId="12" fillId="0" borderId="0" xfId="108" applyFont="1" applyAlignment="1">
      <alignment vertical="center"/>
    </xf>
    <xf numFmtId="0" fontId="11" fillId="0" borderId="0" xfId="108" applyAlignment="1">
      <alignment horizontal="center" vertical="center"/>
    </xf>
    <xf numFmtId="0" fontId="11" fillId="0" borderId="0" xfId="108" applyAlignment="1">
      <alignment horizontal="center" vertical="center" wrapText="1"/>
    </xf>
    <xf numFmtId="0" fontId="27" fillId="26" borderId="14" xfId="108" applyFont="1" applyFill="1" applyBorder="1" applyAlignment="1">
      <alignment vertical="center" wrapText="1"/>
    </xf>
    <xf numFmtId="0" fontId="11" fillId="0" borderId="38" xfId="108" applyBorder="1"/>
    <xf numFmtId="0" fontId="11" fillId="0" borderId="38" xfId="108" applyBorder="1" applyAlignment="1">
      <alignment vertical="center"/>
    </xf>
    <xf numFmtId="0" fontId="59" fillId="0" borderId="0" xfId="109" applyFont="1" applyAlignment="1">
      <alignment vertical="center"/>
    </xf>
    <xf numFmtId="0" fontId="60" fillId="0" borderId="23" xfId="109" applyFont="1" applyBorder="1" applyAlignment="1">
      <alignment vertical="center"/>
    </xf>
    <xf numFmtId="0" fontId="60" fillId="0" borderId="0" xfId="109" applyFont="1" applyAlignment="1">
      <alignment vertical="center"/>
    </xf>
    <xf numFmtId="0" fontId="59" fillId="0" borderId="27" xfId="109" applyFont="1" applyBorder="1"/>
    <xf numFmtId="0" fontId="59" fillId="0" borderId="15" xfId="109" applyFont="1" applyBorder="1"/>
    <xf numFmtId="0" fontId="60" fillId="0" borderId="25" xfId="109" applyFont="1" applyBorder="1" applyAlignment="1">
      <alignment vertical="center"/>
    </xf>
    <xf numFmtId="0" fontId="60" fillId="0" borderId="15" xfId="109" applyFont="1" applyBorder="1" applyAlignment="1">
      <alignment vertical="center"/>
    </xf>
    <xf numFmtId="0" fontId="60" fillId="0" borderId="26" xfId="109" applyFont="1" applyBorder="1" applyAlignment="1">
      <alignment vertical="center"/>
    </xf>
    <xf numFmtId="0" fontId="59" fillId="0" borderId="38" xfId="109" applyFont="1" applyBorder="1"/>
    <xf numFmtId="0" fontId="60" fillId="0" borderId="52" xfId="109" applyFont="1" applyBorder="1" applyAlignment="1">
      <alignment vertical="center"/>
    </xf>
    <xf numFmtId="0" fontId="60" fillId="0" borderId="27" xfId="109" applyFont="1" applyBorder="1" applyAlignment="1">
      <alignment vertical="center"/>
    </xf>
    <xf numFmtId="0" fontId="60" fillId="0" borderId="0" xfId="109" applyFont="1" applyAlignment="1">
      <alignment horizontal="left" vertical="center" wrapText="1"/>
    </xf>
    <xf numFmtId="0" fontId="59" fillId="0" borderId="27" xfId="109" applyFont="1" applyBorder="1" applyAlignment="1">
      <alignment vertical="center"/>
    </xf>
    <xf numFmtId="0" fontId="59" fillId="0" borderId="15" xfId="109" applyFont="1" applyBorder="1" applyAlignment="1">
      <alignment vertical="center"/>
    </xf>
    <xf numFmtId="0" fontId="61" fillId="0" borderId="0" xfId="109" applyFont="1" applyAlignment="1">
      <alignment vertical="center"/>
    </xf>
    <xf numFmtId="0" fontId="59" fillId="0" borderId="0" xfId="110" applyFont="1" applyAlignment="1">
      <alignment vertical="center"/>
    </xf>
    <xf numFmtId="0" fontId="59" fillId="0" borderId="0" xfId="110" applyFont="1"/>
    <xf numFmtId="0" fontId="15" fillId="0" borderId="0" xfId="108" applyFont="1" applyAlignment="1">
      <alignment horizontal="right" vertical="center"/>
    </xf>
    <xf numFmtId="0" fontId="11" fillId="0" borderId="50" xfId="108" applyBorder="1" applyAlignment="1">
      <alignment vertical="center" wrapText="1"/>
    </xf>
    <xf numFmtId="0" fontId="59" fillId="0" borderId="47" xfId="110" applyFont="1" applyBorder="1" applyAlignment="1">
      <alignment vertical="center"/>
    </xf>
    <xf numFmtId="0" fontId="60" fillId="0" borderId="0" xfId="110" applyFont="1" applyAlignment="1">
      <alignment vertical="center"/>
    </xf>
    <xf numFmtId="0" fontId="11" fillId="0" borderId="18" xfId="108" applyBorder="1" applyAlignment="1">
      <alignment vertical="center" wrapText="1"/>
    </xf>
    <xf numFmtId="0" fontId="51" fillId="0" borderId="27" xfId="110" applyFont="1" applyBorder="1" applyAlignment="1">
      <alignment vertical="center"/>
    </xf>
    <xf numFmtId="0" fontId="51" fillId="0" borderId="15" xfId="110" applyFont="1" applyBorder="1" applyAlignment="1">
      <alignment vertical="center"/>
    </xf>
    <xf numFmtId="0" fontId="61" fillId="0" borderId="0" xfId="110" applyFont="1" applyAlignment="1">
      <alignment vertical="center"/>
    </xf>
    <xf numFmtId="0" fontId="15" fillId="0" borderId="0" xfId="108" applyFont="1" applyAlignment="1">
      <alignment horizontal="left"/>
    </xf>
    <xf numFmtId="0" fontId="11" fillId="0" borderId="0" xfId="108" applyAlignment="1">
      <alignment horizontal="left"/>
    </xf>
    <xf numFmtId="0" fontId="14" fillId="27" borderId="16" xfId="108" applyFont="1" applyFill="1" applyBorder="1" applyAlignment="1">
      <alignment vertical="center" wrapText="1"/>
    </xf>
    <xf numFmtId="0" fontId="14" fillId="27" borderId="17" xfId="108" applyFont="1" applyFill="1" applyBorder="1" applyAlignment="1">
      <alignment vertical="center" wrapText="1"/>
    </xf>
    <xf numFmtId="0" fontId="15" fillId="26" borderId="24" xfId="108" applyFont="1" applyFill="1" applyBorder="1" applyAlignment="1">
      <alignment vertical="center" wrapText="1"/>
    </xf>
    <xf numFmtId="0" fontId="15" fillId="26" borderId="31" xfId="108" applyFont="1" applyFill="1" applyBorder="1" applyAlignment="1">
      <alignment vertical="center"/>
    </xf>
    <xf numFmtId="0" fontId="15" fillId="26" borderId="28" xfId="108" applyFont="1" applyFill="1" applyBorder="1" applyAlignment="1">
      <alignment horizontal="center" vertical="center"/>
    </xf>
    <xf numFmtId="0" fontId="12" fillId="0" borderId="0" xfId="108" applyFont="1"/>
    <xf numFmtId="0" fontId="11" fillId="0" borderId="0" xfId="108" applyAlignment="1">
      <alignment vertical="center" wrapText="1"/>
    </xf>
    <xf numFmtId="0" fontId="11" fillId="0" borderId="0" xfId="108" applyAlignment="1">
      <alignment horizontal="left" vertical="center" wrapText="1"/>
    </xf>
    <xf numFmtId="0" fontId="25" fillId="0" borderId="18" xfId="108" applyFont="1" applyBorder="1" applyAlignment="1">
      <alignment horizontal="center" vertical="center" wrapText="1"/>
    </xf>
    <xf numFmtId="0" fontId="22" fillId="0" borderId="10" xfId="108" applyFont="1" applyBorder="1" applyAlignment="1">
      <alignment horizontal="center" vertical="center" wrapText="1"/>
    </xf>
    <xf numFmtId="0" fontId="22" fillId="0" borderId="11" xfId="108" applyFont="1" applyBorder="1" applyAlignment="1">
      <alignment horizontal="center" vertical="center" wrapText="1"/>
    </xf>
    <xf numFmtId="0" fontId="11" fillId="0" borderId="18" xfId="108" applyBorder="1" applyAlignment="1">
      <alignment vertical="center"/>
    </xf>
    <xf numFmtId="0" fontId="25" fillId="0" borderId="29" xfId="108" applyFont="1" applyBorder="1" applyAlignment="1">
      <alignment horizontal="center" vertical="center" wrapText="1"/>
    </xf>
    <xf numFmtId="0" fontId="22" fillId="0" borderId="32" xfId="108" applyFont="1" applyBorder="1" applyAlignment="1">
      <alignment horizontal="center" vertical="center" wrapText="1"/>
    </xf>
    <xf numFmtId="0" fontId="22" fillId="0" borderId="30" xfId="108" applyFont="1" applyBorder="1" applyAlignment="1">
      <alignment horizontal="center" vertical="center" wrapText="1"/>
    </xf>
    <xf numFmtId="0" fontId="15" fillId="0" borderId="0" xfId="108" applyFont="1" applyAlignment="1">
      <alignment vertical="center"/>
    </xf>
    <xf numFmtId="0" fontId="14" fillId="28" borderId="35" xfId="108" applyFont="1" applyFill="1" applyBorder="1" applyAlignment="1">
      <alignment horizontal="center" vertical="center" wrapText="1"/>
    </xf>
    <xf numFmtId="0" fontId="14" fillId="28" borderId="34" xfId="108" applyFont="1" applyFill="1" applyBorder="1" applyAlignment="1">
      <alignment vertical="center" wrapText="1"/>
    </xf>
    <xf numFmtId="0" fontId="22" fillId="0" borderId="0" xfId="108" applyFont="1" applyAlignment="1">
      <alignment horizontal="left" vertical="center" wrapText="1"/>
    </xf>
    <xf numFmtId="0" fontId="15" fillId="0" borderId="0" xfId="108" applyFont="1" applyAlignment="1">
      <alignment vertical="center" wrapText="1"/>
    </xf>
    <xf numFmtId="0" fontId="11" fillId="0" borderId="0" xfId="108" applyAlignment="1">
      <alignment wrapText="1"/>
    </xf>
    <xf numFmtId="0" fontId="11" fillId="0" borderId="0" xfId="108" applyAlignment="1">
      <alignment horizontal="center" wrapText="1"/>
    </xf>
    <xf numFmtId="0" fontId="11" fillId="0" borderId="0" xfId="108" applyAlignment="1">
      <alignment horizontal="left" wrapText="1"/>
    </xf>
    <xf numFmtId="0" fontId="61" fillId="0" borderId="15" xfId="109" applyFont="1" applyBorder="1" applyAlignment="1">
      <alignment vertical="center"/>
    </xf>
    <xf numFmtId="0" fontId="60" fillId="0" borderId="29" xfId="109" applyFont="1" applyBorder="1" applyAlignment="1">
      <alignment vertical="center"/>
    </xf>
    <xf numFmtId="0" fontId="14" fillId="26" borderId="12" xfId="109" applyFont="1" applyFill="1" applyBorder="1" applyAlignment="1">
      <alignment vertical="center"/>
    </xf>
    <xf numFmtId="1" fontId="27" fillId="35" borderId="23" xfId="0" applyNumberFormat="1" applyFont="1" applyFill="1" applyBorder="1" applyAlignment="1">
      <alignment horizontal="center" vertical="center" wrapText="1"/>
    </xf>
    <xf numFmtId="0" fontId="63" fillId="26" borderId="12" xfId="109" applyFont="1" applyFill="1" applyBorder="1" applyAlignment="1">
      <alignment vertical="center"/>
    </xf>
    <xf numFmtId="0" fontId="15" fillId="26" borderId="12" xfId="109" applyFont="1" applyFill="1" applyBorder="1" applyAlignment="1">
      <alignment horizontal="center" vertical="center"/>
    </xf>
    <xf numFmtId="0" fontId="60" fillId="0" borderId="46" xfId="109" applyFont="1" applyBorder="1" applyAlignment="1">
      <alignment vertical="center"/>
    </xf>
    <xf numFmtId="0" fontId="60" fillId="0" borderId="13" xfId="109" applyFont="1" applyBorder="1" applyAlignment="1">
      <alignment horizontal="center" vertical="center"/>
    </xf>
    <xf numFmtId="0" fontId="81" fillId="0" borderId="0" xfId="109" applyFont="1" applyAlignment="1">
      <alignment vertical="center"/>
    </xf>
    <xf numFmtId="0" fontId="82" fillId="0" borderId="0" xfId="109" applyFont="1"/>
    <xf numFmtId="1" fontId="15" fillId="26" borderId="12" xfId="226" applyNumberFormat="1" applyFont="1" applyFill="1" applyBorder="1" applyAlignment="1">
      <alignment horizontal="center" vertical="center"/>
    </xf>
    <xf numFmtId="1" fontId="15" fillId="26" borderId="39" xfId="226" applyNumberFormat="1" applyFont="1" applyFill="1" applyBorder="1" applyAlignment="1">
      <alignment horizontal="center" vertical="center"/>
    </xf>
    <xf numFmtId="0" fontId="81" fillId="0" borderId="0" xfId="0" applyFont="1" applyAlignment="1">
      <alignment vertical="center" wrapText="1"/>
    </xf>
    <xf numFmtId="14" fontId="81" fillId="0" borderId="0" xfId="0" applyNumberFormat="1" applyFont="1" applyAlignment="1">
      <alignment vertical="center"/>
    </xf>
    <xf numFmtId="0" fontId="60" fillId="0" borderId="81" xfId="109" applyFont="1" applyBorder="1" applyAlignment="1">
      <alignment vertical="center"/>
    </xf>
    <xf numFmtId="0" fontId="74" fillId="0" borderId="0" xfId="0" applyFont="1" applyAlignment="1">
      <alignment vertical="center" wrapText="1"/>
    </xf>
    <xf numFmtId="0" fontId="72" fillId="0" borderId="0" xfId="109" applyFont="1"/>
    <xf numFmtId="0" fontId="15" fillId="26" borderId="57" xfId="109" applyFont="1" applyFill="1" applyBorder="1" applyAlignment="1">
      <alignment horizontal="center" vertical="center"/>
    </xf>
    <xf numFmtId="0" fontId="45" fillId="33" borderId="16" xfId="0" applyFont="1" applyFill="1" applyBorder="1" applyAlignment="1">
      <alignment horizontal="center" vertical="center"/>
    </xf>
    <xf numFmtId="165" fontId="45" fillId="33" borderId="85" xfId="0" applyNumberFormat="1" applyFont="1" applyFill="1" applyBorder="1" applyAlignment="1">
      <alignment horizontal="center" vertical="center"/>
    </xf>
    <xf numFmtId="0" fontId="45" fillId="33" borderId="85" xfId="0" applyFont="1" applyFill="1" applyBorder="1" applyAlignment="1">
      <alignment horizontal="center" vertical="center" wrapText="1"/>
    </xf>
    <xf numFmtId="0" fontId="45" fillId="33" borderId="85" xfId="0" applyFont="1" applyFill="1" applyBorder="1" applyAlignment="1">
      <alignment horizontal="left" vertical="center" wrapText="1"/>
    </xf>
    <xf numFmtId="1" fontId="45" fillId="33" borderId="80" xfId="108" applyNumberFormat="1" applyFont="1" applyFill="1" applyBorder="1" applyAlignment="1">
      <alignment horizontal="center" vertical="center"/>
    </xf>
    <xf numFmtId="1" fontId="15" fillId="26" borderId="23" xfId="0" applyNumberFormat="1" applyFont="1" applyFill="1" applyBorder="1" applyAlignment="1">
      <alignment horizontal="center" vertical="center" wrapText="1"/>
    </xf>
    <xf numFmtId="165" fontId="21" fillId="0" borderId="0" xfId="0" applyNumberFormat="1" applyFont="1" applyAlignment="1">
      <alignment horizontal="center" vertical="center"/>
    </xf>
    <xf numFmtId="165" fontId="21" fillId="0" borderId="38" xfId="0" applyNumberFormat="1" applyFont="1" applyBorder="1" applyAlignment="1">
      <alignment horizontal="center" vertical="center"/>
    </xf>
    <xf numFmtId="0" fontId="53" fillId="0" borderId="0" xfId="0" applyFont="1" applyAlignment="1">
      <alignment vertical="center" wrapText="1"/>
    </xf>
    <xf numFmtId="0" fontId="59" fillId="58" borderId="0" xfId="109" applyFont="1" applyFill="1"/>
    <xf numFmtId="0" fontId="59" fillId="59" borderId="0" xfId="109" applyFont="1" applyFill="1"/>
    <xf numFmtId="0" fontId="45" fillId="0" borderId="0" xfId="0" applyFont="1" applyAlignment="1">
      <alignment horizontal="center" vertical="center"/>
    </xf>
    <xf numFmtId="1" fontId="49" fillId="26" borderId="93" xfId="60" applyNumberFormat="1" applyFont="1" applyFill="1" applyBorder="1" applyAlignment="1">
      <alignment horizontal="center" vertical="center"/>
    </xf>
    <xf numFmtId="0" fontId="60" fillId="0" borderId="88" xfId="109" applyFont="1" applyBorder="1" applyAlignment="1">
      <alignment vertical="center"/>
    </xf>
    <xf numFmtId="0" fontId="60" fillId="0" borderId="87" xfId="109" applyFont="1" applyBorder="1" applyAlignment="1">
      <alignment vertical="center"/>
    </xf>
    <xf numFmtId="169" fontId="11" fillId="26" borderId="10" xfId="226" applyNumberFormat="1" applyFont="1" applyFill="1" applyBorder="1" applyAlignment="1">
      <alignment horizontal="right" vertical="center"/>
    </xf>
    <xf numFmtId="14" fontId="0" fillId="0" borderId="0" xfId="0" applyNumberFormat="1" applyAlignment="1">
      <alignment textRotation="90" wrapText="1"/>
    </xf>
    <xf numFmtId="0" fontId="14" fillId="0" borderId="0" xfId="0" applyFont="1" applyAlignment="1">
      <alignment textRotation="90" wrapText="1"/>
    </xf>
    <xf numFmtId="0" fontId="0" fillId="0" borderId="0" xfId="0" applyAlignment="1">
      <alignment textRotation="90" wrapText="1"/>
    </xf>
    <xf numFmtId="0" fontId="0" fillId="0" borderId="0" xfId="0" applyAlignment="1">
      <alignment wrapText="1"/>
    </xf>
    <xf numFmtId="0" fontId="45" fillId="0" borderId="42" xfId="0" applyFont="1" applyBorder="1" applyAlignment="1">
      <alignment vertical="center" wrapText="1"/>
    </xf>
    <xf numFmtId="14" fontId="45" fillId="0" borderId="57" xfId="0" applyNumberFormat="1" applyFont="1" applyBorder="1" applyAlignment="1">
      <alignment vertical="center"/>
    </xf>
    <xf numFmtId="0" fontId="45" fillId="0" borderId="0" xfId="0" applyFont="1" applyAlignment="1">
      <alignment vertical="center"/>
    </xf>
    <xf numFmtId="0" fontId="0" fillId="0" borderId="58" xfId="0" applyBorder="1" applyAlignment="1">
      <alignment vertical="center" wrapText="1"/>
    </xf>
    <xf numFmtId="0" fontId="14" fillId="0" borderId="44" xfId="0" applyFont="1" applyBorder="1" applyAlignment="1">
      <alignment horizontal="center" vertical="center" wrapText="1"/>
    </xf>
    <xf numFmtId="0" fontId="11" fillId="0" borderId="48" xfId="0" applyFont="1" applyBorder="1" applyAlignment="1">
      <alignment vertical="center"/>
    </xf>
    <xf numFmtId="0" fontId="14" fillId="0" borderId="60" xfId="0" applyFont="1" applyBorder="1" applyAlignment="1">
      <alignment horizontal="center" vertical="center" wrapText="1"/>
    </xf>
    <xf numFmtId="165" fontId="11" fillId="0" borderId="0" xfId="0" applyNumberFormat="1" applyFont="1" applyAlignment="1">
      <alignment horizontal="center" vertical="center"/>
    </xf>
    <xf numFmtId="1" fontId="45" fillId="33" borderId="61" xfId="108" applyNumberFormat="1" applyFont="1" applyFill="1" applyBorder="1" applyAlignment="1">
      <alignment horizontal="center" vertical="center"/>
    </xf>
    <xf numFmtId="0" fontId="46" fillId="0" borderId="48" xfId="0" applyFont="1" applyBorder="1" applyAlignment="1">
      <alignment horizontal="center" vertical="center"/>
    </xf>
    <xf numFmtId="165" fontId="11" fillId="0" borderId="15" xfId="0" applyNumberFormat="1" applyFont="1" applyBorder="1" applyAlignment="1">
      <alignment horizontal="center" vertical="center"/>
    </xf>
    <xf numFmtId="0" fontId="11" fillId="0" borderId="48" xfId="0" applyFont="1" applyBorder="1" applyAlignment="1">
      <alignment vertical="center" wrapText="1"/>
    </xf>
    <xf numFmtId="0" fontId="11" fillId="0" borderId="55" xfId="0" applyFont="1" applyBorder="1" applyAlignment="1">
      <alignment vertical="center" wrapText="1"/>
    </xf>
    <xf numFmtId="0" fontId="11" fillId="0" borderId="55" xfId="0" applyFont="1" applyBorder="1" applyAlignment="1">
      <alignment vertical="center"/>
    </xf>
    <xf numFmtId="0" fontId="11" fillId="0" borderId="15" xfId="0" applyFont="1" applyBorder="1" applyAlignment="1">
      <alignment vertical="center" wrapText="1"/>
    </xf>
    <xf numFmtId="1" fontId="18" fillId="26" borderId="33" xfId="0" applyNumberFormat="1" applyFont="1" applyFill="1" applyBorder="1" applyAlignment="1">
      <alignment horizontal="center" vertical="center" wrapText="1"/>
    </xf>
    <xf numFmtId="0" fontId="0" fillId="0" borderId="55" xfId="0" applyBorder="1" applyAlignment="1">
      <alignment vertical="center"/>
    </xf>
    <xf numFmtId="0" fontId="46" fillId="0" borderId="15" xfId="0" applyFont="1" applyBorder="1" applyAlignment="1">
      <alignment vertical="center" wrapText="1"/>
    </xf>
    <xf numFmtId="1" fontId="47" fillId="34" borderId="62" xfId="0" applyNumberFormat="1" applyFont="1" applyFill="1" applyBorder="1" applyAlignment="1">
      <alignment horizontal="center" vertical="center" wrapText="1"/>
    </xf>
    <xf numFmtId="0" fontId="46" fillId="0" borderId="48" xfId="0" applyFont="1" applyBorder="1" applyAlignment="1">
      <alignment vertical="center"/>
    </xf>
    <xf numFmtId="0" fontId="46" fillId="0" borderId="55" xfId="0" applyFont="1" applyBorder="1" applyAlignment="1">
      <alignment vertical="center"/>
    </xf>
    <xf numFmtId="0" fontId="12" fillId="0" borderId="15" xfId="0" applyFont="1" applyBorder="1" applyAlignment="1">
      <alignment vertical="center" wrapText="1"/>
    </xf>
    <xf numFmtId="0" fontId="27" fillId="35" borderId="47" xfId="0" applyFont="1" applyFill="1" applyBorder="1" applyAlignment="1">
      <alignment horizontal="center" vertical="center" wrapText="1"/>
    </xf>
    <xf numFmtId="0" fontId="12" fillId="0" borderId="48" xfId="0" applyFont="1" applyBorder="1" applyAlignment="1">
      <alignment vertical="center"/>
    </xf>
    <xf numFmtId="0" fontId="12" fillId="0" borderId="55" xfId="0" applyFont="1" applyBorder="1" applyAlignment="1">
      <alignment vertical="center"/>
    </xf>
    <xf numFmtId="0" fontId="0" fillId="0" borderId="15" xfId="0" applyBorder="1" applyAlignment="1">
      <alignment vertical="center" wrapText="1"/>
    </xf>
    <xf numFmtId="0" fontId="23" fillId="0" borderId="15" xfId="0" applyFont="1" applyBorder="1" applyAlignment="1">
      <alignment vertical="center" wrapText="1"/>
    </xf>
    <xf numFmtId="0" fontId="23" fillId="0" borderId="55" xfId="0" applyFont="1" applyBorder="1" applyAlignment="1">
      <alignment vertical="center"/>
    </xf>
    <xf numFmtId="1" fontId="47" fillId="36" borderId="62" xfId="0" applyNumberFormat="1" applyFont="1" applyFill="1" applyBorder="1" applyAlignment="1">
      <alignment horizontal="center" vertical="center" wrapText="1"/>
    </xf>
    <xf numFmtId="1" fontId="18" fillId="30" borderId="47" xfId="0" applyNumberFormat="1" applyFont="1" applyFill="1" applyBorder="1" applyAlignment="1">
      <alignment horizontal="center" vertical="center" wrapText="1"/>
    </xf>
    <xf numFmtId="1" fontId="47" fillId="23" borderId="61" xfId="0" applyNumberFormat="1" applyFont="1" applyFill="1" applyBorder="1" applyAlignment="1">
      <alignment horizontal="center" vertical="center" wrapText="1"/>
    </xf>
    <xf numFmtId="0" fontId="15" fillId="27" borderId="33" xfId="0" applyFont="1" applyFill="1" applyBorder="1" applyAlignment="1">
      <alignment horizontal="center" vertical="center" wrapText="1"/>
    </xf>
    <xf numFmtId="1" fontId="18" fillId="0" borderId="15" xfId="0" applyNumberFormat="1" applyFont="1" applyBorder="1" applyAlignment="1">
      <alignment horizontal="center" vertical="center" wrapText="1"/>
    </xf>
    <xf numFmtId="0" fontId="17" fillId="0" borderId="55" xfId="0" applyFont="1" applyBorder="1" applyAlignment="1">
      <alignment vertical="center"/>
    </xf>
    <xf numFmtId="0" fontId="17" fillId="0" borderId="15" xfId="0" applyFont="1" applyBorder="1" applyAlignment="1">
      <alignment vertical="center" wrapText="1"/>
    </xf>
    <xf numFmtId="1" fontId="18" fillId="27" borderId="33" xfId="0" applyNumberFormat="1" applyFont="1" applyFill="1" applyBorder="1" applyAlignment="1">
      <alignment horizontal="center" vertical="center" wrapText="1"/>
    </xf>
    <xf numFmtId="1" fontId="18" fillId="26" borderId="21" xfId="0" applyNumberFormat="1" applyFont="1" applyFill="1" applyBorder="1" applyAlignment="1">
      <alignment horizontal="center" vertical="center" wrapText="1"/>
    </xf>
    <xf numFmtId="1" fontId="18" fillId="26" borderId="28" xfId="0" applyNumberFormat="1" applyFont="1" applyFill="1" applyBorder="1" applyAlignment="1">
      <alignment horizontal="center" vertical="center" wrapText="1"/>
    </xf>
    <xf numFmtId="0" fontId="0" fillId="0" borderId="22" xfId="0" applyBorder="1" applyAlignment="1">
      <alignment vertical="center"/>
    </xf>
    <xf numFmtId="3" fontId="15" fillId="0" borderId="13" xfId="0" applyNumberFormat="1" applyFont="1" applyBorder="1" applyAlignment="1">
      <alignment horizontal="center" vertical="center"/>
    </xf>
    <xf numFmtId="3" fontId="15" fillId="0" borderId="12" xfId="0" applyNumberFormat="1" applyFont="1" applyBorder="1" applyAlignment="1">
      <alignment horizontal="center" vertical="center"/>
    </xf>
    <xf numFmtId="0" fontId="24" fillId="0" borderId="0" xfId="0" applyFont="1" applyAlignment="1">
      <alignment vertical="center" wrapText="1"/>
    </xf>
    <xf numFmtId="0" fontId="11" fillId="0" borderId="0" xfId="0" applyFont="1" applyAlignment="1">
      <alignment horizontal="center" vertical="center"/>
    </xf>
    <xf numFmtId="165" fontId="45" fillId="26" borderId="12" xfId="0" applyNumberFormat="1" applyFont="1" applyFill="1" applyBorder="1" applyAlignment="1" applyProtection="1">
      <alignment horizontal="center" vertical="center"/>
      <protection locked="0"/>
    </xf>
    <xf numFmtId="0" fontId="11" fillId="0" borderId="11" xfId="108" applyBorder="1" applyAlignment="1">
      <alignment horizontal="center" vertical="center" wrapText="1"/>
    </xf>
    <xf numFmtId="0" fontId="11" fillId="0" borderId="27" xfId="0" applyFont="1" applyBorder="1" applyAlignment="1">
      <alignment vertical="center" wrapText="1"/>
    </xf>
    <xf numFmtId="1" fontId="15" fillId="0" borderId="10" xfId="0" applyNumberFormat="1" applyFont="1" applyBorder="1" applyAlignment="1" applyProtection="1">
      <alignment horizontal="center" vertical="center" wrapText="1"/>
      <protection locked="0"/>
    </xf>
    <xf numFmtId="0" fontId="51" fillId="27" borderId="61" xfId="72" applyFont="1" applyFill="1" applyBorder="1" applyAlignment="1" applyProtection="1">
      <alignment horizontal="center" vertical="center"/>
    </xf>
    <xf numFmtId="0" fontId="11" fillId="0" borderId="78" xfId="108" applyBorder="1" applyAlignment="1">
      <alignment vertical="center" wrapText="1"/>
    </xf>
    <xf numFmtId="0" fontId="11" fillId="0" borderId="78" xfId="108" applyBorder="1" applyAlignment="1">
      <alignment horizontal="left" vertical="center" wrapText="1"/>
    </xf>
    <xf numFmtId="0" fontId="11" fillId="0" borderId="95" xfId="108" applyBorder="1" applyAlignment="1">
      <alignment horizontal="center" vertical="center" wrapText="1"/>
    </xf>
    <xf numFmtId="0" fontId="11" fillId="29" borderId="21" xfId="72" applyFont="1" applyFill="1" applyBorder="1" applyAlignment="1" applyProtection="1">
      <alignment horizontal="center" vertical="center" wrapText="1"/>
      <protection locked="0"/>
    </xf>
    <xf numFmtId="0" fontId="22" fillId="0" borderId="78" xfId="108" applyFont="1" applyBorder="1" applyAlignment="1">
      <alignment horizontal="left" vertical="center" wrapText="1"/>
    </xf>
    <xf numFmtId="0" fontId="25" fillId="0" borderId="101" xfId="108" applyFont="1" applyBorder="1" applyAlignment="1">
      <alignment vertical="center" wrapText="1"/>
    </xf>
    <xf numFmtId="0" fontId="11" fillId="0" borderId="55" xfId="108" applyBorder="1" applyAlignment="1">
      <alignment horizontal="center" vertical="center" wrapText="1"/>
    </xf>
    <xf numFmtId="0" fontId="15" fillId="26" borderId="26" xfId="108" applyFont="1" applyFill="1" applyBorder="1" applyAlignment="1">
      <alignment horizontal="center" vertical="center" wrapText="1"/>
    </xf>
    <xf numFmtId="0" fontId="11" fillId="29" borderId="21" xfId="72" applyFont="1" applyFill="1" applyBorder="1" applyAlignment="1" applyProtection="1">
      <alignment vertical="center" wrapText="1"/>
    </xf>
    <xf numFmtId="0" fontId="12" fillId="0" borderId="103" xfId="108" applyFont="1" applyBorder="1" applyAlignment="1">
      <alignment vertical="center"/>
    </xf>
    <xf numFmtId="0" fontId="14" fillId="28" borderId="61" xfId="108" applyFont="1" applyFill="1" applyBorder="1" applyAlignment="1">
      <alignment horizontal="center" vertical="center"/>
    </xf>
    <xf numFmtId="0" fontId="11" fillId="0" borderId="104" xfId="108" applyBorder="1" applyAlignment="1">
      <alignment vertical="center"/>
    </xf>
    <xf numFmtId="0" fontId="15" fillId="26" borderId="51" xfId="108" applyFont="1" applyFill="1" applyBorder="1" applyAlignment="1">
      <alignment vertical="center"/>
    </xf>
    <xf numFmtId="0" fontId="15" fillId="0" borderId="14" xfId="108" applyFont="1" applyBorder="1" applyAlignment="1">
      <alignment horizontal="center"/>
    </xf>
    <xf numFmtId="1" fontId="15" fillId="26" borderId="28" xfId="108" applyNumberFormat="1" applyFont="1" applyFill="1" applyBorder="1" applyAlignment="1">
      <alignment horizontal="center" vertical="center"/>
    </xf>
    <xf numFmtId="0" fontId="14" fillId="28" borderId="40" xfId="108" applyFont="1" applyFill="1" applyBorder="1" applyAlignment="1">
      <alignment horizontal="left" vertical="center"/>
    </xf>
    <xf numFmtId="0" fontId="14" fillId="28" borderId="34" xfId="108" applyFont="1" applyFill="1" applyBorder="1" applyAlignment="1">
      <alignment horizontal="center" vertical="center"/>
    </xf>
    <xf numFmtId="0" fontId="14" fillId="28" borderId="61" xfId="108" applyFont="1" applyFill="1" applyBorder="1" applyAlignment="1">
      <alignment horizontal="left" vertical="center"/>
    </xf>
    <xf numFmtId="0" fontId="11" fillId="0" borderId="33" xfId="108" applyBorder="1" applyAlignment="1">
      <alignment vertical="center"/>
    </xf>
    <xf numFmtId="0" fontId="27" fillId="35" borderId="102" xfId="0" applyFont="1" applyFill="1" applyBorder="1" applyAlignment="1">
      <alignment horizontal="center" vertical="center"/>
    </xf>
    <xf numFmtId="165" fontId="27" fillId="35" borderId="106" xfId="0" applyNumberFormat="1" applyFont="1" applyFill="1" applyBorder="1" applyAlignment="1">
      <alignment horizontal="center" vertical="center"/>
    </xf>
    <xf numFmtId="0" fontId="15" fillId="35" borderId="106" xfId="0" applyFont="1" applyFill="1" applyBorder="1" applyAlignment="1">
      <alignment vertical="center" wrapText="1"/>
    </xf>
    <xf numFmtId="0" fontId="0" fillId="0" borderId="64" xfId="0" applyBorder="1" applyAlignment="1">
      <alignment vertical="center" wrapText="1"/>
    </xf>
    <xf numFmtId="0" fontId="14" fillId="0" borderId="107" xfId="0" applyFont="1" applyBorder="1" applyAlignment="1">
      <alignment horizontal="center" vertical="center" wrapText="1"/>
    </xf>
    <xf numFmtId="0" fontId="14" fillId="0" borderId="108" xfId="0" applyFont="1" applyBorder="1" applyAlignment="1">
      <alignment horizontal="center" vertical="center" wrapText="1"/>
    </xf>
    <xf numFmtId="0" fontId="45" fillId="34" borderId="85" xfId="0" applyFont="1" applyFill="1" applyBorder="1" applyAlignment="1">
      <alignment vertical="center" wrapText="1"/>
    </xf>
    <xf numFmtId="0" fontId="45" fillId="36" borderId="17" xfId="0" applyFont="1" applyFill="1" applyBorder="1" applyAlignment="1">
      <alignment horizontal="left" vertical="center" wrapText="1"/>
    </xf>
    <xf numFmtId="0" fontId="45" fillId="23" borderId="17" xfId="0" applyFont="1" applyFill="1" applyBorder="1" applyAlignment="1">
      <alignment vertical="center" wrapText="1"/>
    </xf>
    <xf numFmtId="166" fontId="15" fillId="0" borderId="42" xfId="0" applyNumberFormat="1" applyFont="1" applyBorder="1" applyAlignment="1">
      <alignment horizontal="right" vertical="center"/>
    </xf>
    <xf numFmtId="166" fontId="15" fillId="0" borderId="92" xfId="0" applyNumberFormat="1" applyFont="1" applyBorder="1" applyAlignment="1">
      <alignment horizontal="center" vertical="center"/>
    </xf>
    <xf numFmtId="3" fontId="15" fillId="0" borderId="96" xfId="0" applyNumberFormat="1" applyFont="1" applyBorder="1" applyAlignment="1">
      <alignment horizontal="center" vertical="center"/>
    </xf>
    <xf numFmtId="0" fontId="25" fillId="27" borderId="16" xfId="108" applyFont="1" applyFill="1" applyBorder="1" applyAlignment="1">
      <alignment vertical="center" wrapText="1"/>
    </xf>
    <xf numFmtId="0" fontId="25" fillId="27" borderId="17" xfId="108" applyFont="1" applyFill="1" applyBorder="1" applyAlignment="1">
      <alignment vertical="center" wrapText="1"/>
    </xf>
    <xf numFmtId="0" fontId="25" fillId="27" borderId="34" xfId="108" applyFont="1" applyFill="1" applyBorder="1" applyAlignment="1">
      <alignment horizontal="center" vertical="center" wrapText="1"/>
    </xf>
    <xf numFmtId="0" fontId="14" fillId="27" borderId="85" xfId="108" applyFont="1" applyFill="1" applyBorder="1" applyAlignment="1">
      <alignment vertical="center" wrapText="1"/>
    </xf>
    <xf numFmtId="0" fontId="11" fillId="0" borderId="106" xfId="108" applyBorder="1" applyAlignment="1">
      <alignment vertical="center" wrapText="1"/>
    </xf>
    <xf numFmtId="0" fontId="11" fillId="0" borderId="110" xfId="108" applyBorder="1" applyAlignment="1">
      <alignment vertical="center" wrapText="1"/>
    </xf>
    <xf numFmtId="0" fontId="11" fillId="0" borderId="55" xfId="108" applyBorder="1" applyAlignment="1">
      <alignment vertical="center" wrapText="1"/>
    </xf>
    <xf numFmtId="0" fontId="15" fillId="26" borderId="28" xfId="108" applyFont="1" applyFill="1" applyBorder="1" applyAlignment="1">
      <alignment horizontal="center" vertical="center" wrapText="1"/>
    </xf>
    <xf numFmtId="0" fontId="11" fillId="0" borderId="32" xfId="108" applyBorder="1" applyAlignment="1">
      <alignment vertical="center" wrapText="1"/>
    </xf>
    <xf numFmtId="1" fontId="49" fillId="26" borderId="41" xfId="60" applyNumberFormat="1" applyFont="1" applyFill="1" applyBorder="1" applyAlignment="1">
      <alignment horizontal="center" vertical="center"/>
    </xf>
    <xf numFmtId="0" fontId="27" fillId="26" borderId="28" xfId="108" applyFont="1" applyFill="1" applyBorder="1" applyAlignment="1">
      <alignment horizontal="center" vertical="center" wrapText="1"/>
    </xf>
    <xf numFmtId="0" fontId="49" fillId="27" borderId="115" xfId="0" applyFont="1" applyFill="1" applyBorder="1" applyAlignment="1">
      <alignment vertical="center"/>
    </xf>
    <xf numFmtId="0" fontId="49" fillId="27" borderId="66" xfId="0" applyFont="1" applyFill="1" applyBorder="1" applyAlignment="1">
      <alignment vertical="center"/>
    </xf>
    <xf numFmtId="0" fontId="59" fillId="0" borderId="103" xfId="109" applyFont="1" applyBorder="1"/>
    <xf numFmtId="0" fontId="59" fillId="0" borderId="116" xfId="109" applyFont="1" applyBorder="1"/>
    <xf numFmtId="0" fontId="60" fillId="0" borderId="89" xfId="109" applyFont="1" applyBorder="1" applyAlignment="1">
      <alignment vertical="center"/>
    </xf>
    <xf numFmtId="0" fontId="60" fillId="0" borderId="114" xfId="109" applyFont="1" applyBorder="1" applyAlignment="1">
      <alignment vertical="center"/>
    </xf>
    <xf numFmtId="0" fontId="69" fillId="0" borderId="81" xfId="123" applyFont="1" applyBorder="1"/>
    <xf numFmtId="0" fontId="59" fillId="0" borderId="25" xfId="109" applyFont="1" applyBorder="1"/>
    <xf numFmtId="0" fontId="15" fillId="26" borderId="96" xfId="109" applyFont="1" applyFill="1" applyBorder="1" applyAlignment="1">
      <alignment horizontal="center" vertical="center"/>
    </xf>
    <xf numFmtId="0" fontId="63" fillId="26" borderId="86" xfId="109" applyFont="1" applyFill="1" applyBorder="1" applyAlignment="1">
      <alignment vertical="center"/>
    </xf>
    <xf numFmtId="1" fontId="15" fillId="26" borderId="57" xfId="226" applyNumberFormat="1" applyFont="1" applyFill="1" applyBorder="1" applyAlignment="1">
      <alignment horizontal="center" vertical="center"/>
    </xf>
    <xf numFmtId="0" fontId="14" fillId="26" borderId="86" xfId="109" applyFont="1" applyFill="1" applyBorder="1" applyAlignment="1">
      <alignment vertical="center"/>
    </xf>
    <xf numFmtId="1" fontId="15" fillId="26" borderId="96" xfId="226" applyNumberFormat="1" applyFont="1" applyFill="1" applyBorder="1" applyAlignment="1">
      <alignment horizontal="center" vertical="center"/>
    </xf>
    <xf numFmtId="0" fontId="60" fillId="0" borderId="103" xfId="109" applyFont="1" applyBorder="1" applyAlignment="1">
      <alignment horizontal="left" vertical="center" wrapText="1"/>
    </xf>
    <xf numFmtId="0" fontId="60" fillId="0" borderId="94" xfId="109" applyFont="1" applyBorder="1" applyAlignment="1">
      <alignment vertical="center"/>
    </xf>
    <xf numFmtId="0" fontId="59" fillId="0" borderId="117" xfId="109" applyFont="1" applyBorder="1" applyAlignment="1">
      <alignment vertical="center"/>
    </xf>
    <xf numFmtId="0" fontId="15" fillId="0" borderId="14" xfId="108" applyFont="1" applyBorder="1" applyAlignment="1">
      <alignment horizontal="center" vertical="center"/>
    </xf>
    <xf numFmtId="0" fontId="59" fillId="0" borderId="113" xfId="110" applyFont="1" applyBorder="1" applyAlignment="1">
      <alignment horizontal="right" vertical="center"/>
    </xf>
    <xf numFmtId="0" fontId="59" fillId="0" borderId="115" xfId="110" applyFont="1" applyBorder="1"/>
    <xf numFmtId="0" fontId="59" fillId="0" borderId="112" xfId="110" applyFont="1" applyBorder="1" applyAlignment="1">
      <alignment vertical="center"/>
    </xf>
    <xf numFmtId="0" fontId="51" fillId="0" borderId="117" xfId="110" applyFont="1" applyBorder="1" applyAlignment="1">
      <alignment horizontal="right" vertical="center"/>
    </xf>
    <xf numFmtId="0" fontId="59" fillId="0" borderId="115" xfId="110" applyFont="1" applyBorder="1" applyAlignment="1">
      <alignment vertical="center"/>
    </xf>
    <xf numFmtId="0" fontId="59" fillId="0" borderId="22" xfId="110" applyFont="1" applyBorder="1" applyAlignment="1">
      <alignment horizontal="right" vertical="center"/>
    </xf>
    <xf numFmtId="0" fontId="59" fillId="0" borderId="25" xfId="110" applyFont="1" applyBorder="1" applyAlignment="1">
      <alignment vertical="center"/>
    </xf>
    <xf numFmtId="0" fontId="15" fillId="26" borderId="89" xfId="110" applyFont="1" applyFill="1" applyBorder="1" applyAlignment="1">
      <alignment vertical="center" wrapText="1"/>
    </xf>
    <xf numFmtId="0" fontId="51" fillId="0" borderId="103" xfId="110" applyFont="1" applyBorder="1" applyAlignment="1">
      <alignment vertical="center"/>
    </xf>
    <xf numFmtId="0" fontId="49" fillId="0" borderId="119" xfId="60" applyFont="1" applyFill="1" applyBorder="1" applyAlignment="1" applyProtection="1">
      <alignment vertical="center"/>
    </xf>
    <xf numFmtId="0" fontId="49" fillId="0" borderId="88" xfId="60" applyFont="1" applyFill="1" applyBorder="1" applyAlignment="1" applyProtection="1">
      <alignment vertical="center"/>
    </xf>
    <xf numFmtId="0" fontId="49" fillId="0" borderId="100" xfId="60" applyFont="1" applyFill="1" applyBorder="1" applyAlignment="1" applyProtection="1">
      <alignment vertical="center"/>
    </xf>
    <xf numFmtId="0" fontId="49" fillId="0" borderId="103" xfId="60" applyFont="1" applyFill="1" applyBorder="1" applyAlignment="1" applyProtection="1">
      <alignment vertical="center"/>
    </xf>
    <xf numFmtId="0" fontId="49" fillId="27" borderId="115" xfId="60" applyFont="1" applyFill="1" applyBorder="1" applyAlignment="1" applyProtection="1">
      <alignment vertical="center"/>
    </xf>
    <xf numFmtId="1" fontId="49" fillId="26" borderId="111" xfId="60" applyNumberFormat="1" applyFont="1" applyFill="1" applyBorder="1" applyAlignment="1" applyProtection="1">
      <alignment horizontal="center" vertical="center"/>
    </xf>
    <xf numFmtId="0" fontId="74" fillId="0" borderId="55" xfId="109" applyFont="1" applyBorder="1" applyAlignment="1">
      <alignment horizontal="center" vertical="center" wrapText="1"/>
    </xf>
    <xf numFmtId="0" fontId="14" fillId="0" borderId="64" xfId="0" applyFont="1" applyBorder="1" applyAlignment="1">
      <alignment horizontal="center" vertical="center" wrapText="1"/>
    </xf>
    <xf numFmtId="0" fontId="21" fillId="0" borderId="0" xfId="0" applyFont="1" applyAlignment="1">
      <alignment horizontal="right" vertical="top"/>
    </xf>
    <xf numFmtId="0" fontId="20" fillId="0" borderId="0" xfId="0" applyFont="1" applyAlignment="1">
      <alignment horizontal="right" vertical="top"/>
    </xf>
    <xf numFmtId="0" fontId="27" fillId="26" borderId="82" xfId="108" applyFont="1" applyFill="1" applyBorder="1" applyAlignment="1">
      <alignment vertical="center" wrapText="1"/>
    </xf>
    <xf numFmtId="0" fontId="27" fillId="26" borderId="109" xfId="108" applyFont="1" applyFill="1" applyBorder="1" applyAlignment="1">
      <alignment vertical="center" wrapText="1"/>
    </xf>
    <xf numFmtId="0" fontId="11" fillId="0" borderId="44" xfId="108" applyBorder="1" applyAlignment="1">
      <alignment vertical="center" wrapText="1"/>
    </xf>
    <xf numFmtId="0" fontId="11" fillId="0" borderId="97" xfId="108" applyBorder="1" applyAlignment="1">
      <alignment horizontal="center" vertical="center" wrapText="1"/>
    </xf>
    <xf numFmtId="0" fontId="15" fillId="0" borderId="0" xfId="108" applyFont="1" applyAlignment="1">
      <alignment horizontal="left" vertical="center"/>
    </xf>
    <xf numFmtId="0" fontId="11" fillId="0" borderId="0" xfId="0" applyFont="1" applyAlignment="1">
      <alignment horizontal="left" vertical="center"/>
    </xf>
    <xf numFmtId="166" fontId="88" fillId="33" borderId="85" xfId="0" applyNumberFormat="1" applyFont="1" applyFill="1" applyBorder="1" applyAlignment="1">
      <alignment horizontal="center" vertical="center" wrapText="1"/>
    </xf>
    <xf numFmtId="166" fontId="45" fillId="34" borderId="67" xfId="0" applyNumberFormat="1" applyFont="1" applyFill="1" applyBorder="1" applyAlignment="1">
      <alignment horizontal="center" vertical="center" wrapText="1"/>
    </xf>
    <xf numFmtId="1" fontId="45" fillId="34" borderId="80" xfId="0" applyNumberFormat="1" applyFont="1" applyFill="1" applyBorder="1" applyAlignment="1">
      <alignment horizontal="center" vertical="center" wrapText="1"/>
    </xf>
    <xf numFmtId="166" fontId="15" fillId="37" borderId="10" xfId="0" applyNumberFormat="1" applyFont="1" applyFill="1" applyBorder="1" applyAlignment="1">
      <alignment horizontal="center" vertical="center" wrapText="1"/>
    </xf>
    <xf numFmtId="1" fontId="15" fillId="26" borderId="46" xfId="0" applyNumberFormat="1" applyFont="1" applyFill="1" applyBorder="1" applyAlignment="1">
      <alignment horizontal="center" vertical="center" wrapText="1"/>
    </xf>
    <xf numFmtId="0" fontId="14" fillId="0" borderId="24" xfId="0" applyFont="1" applyBorder="1" applyAlignment="1">
      <alignment horizontal="center" vertical="center"/>
    </xf>
    <xf numFmtId="165" fontId="14" fillId="0" borderId="41" xfId="0" applyNumberFormat="1" applyFont="1" applyBorder="1" applyAlignment="1">
      <alignment horizontal="center" vertical="center"/>
    </xf>
    <xf numFmtId="166" fontId="45" fillId="36" borderId="85" xfId="0" applyNumberFormat="1" applyFont="1" applyFill="1" applyBorder="1" applyAlignment="1">
      <alignment horizontal="center" vertical="center" wrapText="1"/>
    </xf>
    <xf numFmtId="1" fontId="45" fillId="36" borderId="62" xfId="0" applyNumberFormat="1" applyFont="1" applyFill="1" applyBorder="1" applyAlignment="1">
      <alignment horizontal="center" vertical="center" wrapText="1"/>
    </xf>
    <xf numFmtId="166" fontId="15" fillId="30" borderId="10" xfId="0" applyNumberFormat="1" applyFont="1" applyFill="1" applyBorder="1" applyAlignment="1">
      <alignment horizontal="center" vertical="center" wrapText="1"/>
    </xf>
    <xf numFmtId="1" fontId="15" fillId="30" borderId="23" xfId="0" applyNumberFormat="1" applyFont="1" applyFill="1" applyBorder="1" applyAlignment="1">
      <alignment horizontal="center" vertical="center" wrapText="1"/>
    </xf>
    <xf numFmtId="166" fontId="45" fillId="23" borderId="17" xfId="0" applyNumberFormat="1" applyFont="1" applyFill="1" applyBorder="1" applyAlignment="1">
      <alignment horizontal="center" vertical="center" wrapText="1"/>
    </xf>
    <xf numFmtId="1" fontId="45" fillId="23" borderId="80" xfId="0" applyNumberFormat="1" applyFont="1" applyFill="1" applyBorder="1" applyAlignment="1">
      <alignment horizontal="center" vertical="center" wrapText="1"/>
    </xf>
    <xf numFmtId="166" fontId="15" fillId="27" borderId="10" xfId="0" applyNumberFormat="1" applyFont="1" applyFill="1" applyBorder="1" applyAlignment="1">
      <alignment horizontal="center" vertical="center" wrapText="1"/>
    </xf>
    <xf numFmtId="1" fontId="15" fillId="27" borderId="23" xfId="0" applyNumberFormat="1" applyFont="1" applyFill="1" applyBorder="1" applyAlignment="1">
      <alignment horizontal="center" vertical="center" wrapText="1"/>
    </xf>
    <xf numFmtId="1" fontId="15" fillId="26" borderId="90" xfId="0" applyNumberFormat="1" applyFont="1" applyFill="1" applyBorder="1" applyAlignment="1">
      <alignment horizontal="center" vertical="center" wrapText="1"/>
    </xf>
    <xf numFmtId="0" fontId="11" fillId="0" borderId="0" xfId="108" applyProtection="1">
      <protection locked="0"/>
    </xf>
    <xf numFmtId="0" fontId="49" fillId="27" borderId="61" xfId="72" applyFont="1" applyFill="1" applyBorder="1" applyAlignment="1" applyProtection="1">
      <alignment horizontal="center" vertical="center"/>
    </xf>
    <xf numFmtId="0" fontId="11" fillId="0" borderId="0" xfId="108" applyAlignment="1" applyProtection="1">
      <alignment vertical="center"/>
      <protection locked="0"/>
    </xf>
    <xf numFmtId="0" fontId="11" fillId="29" borderId="33" xfId="0" applyFont="1" applyFill="1" applyBorder="1" applyAlignment="1" applyProtection="1">
      <alignment horizontal="center" vertical="center"/>
      <protection locked="0"/>
    </xf>
    <xf numFmtId="0" fontId="72" fillId="0" borderId="0" xfId="123" applyFont="1"/>
    <xf numFmtId="169" fontId="11" fillId="26" borderId="10" xfId="226" applyNumberFormat="1" applyFont="1" applyFill="1" applyBorder="1" applyAlignment="1">
      <alignment horizontal="center" vertical="center"/>
    </xf>
    <xf numFmtId="0" fontId="14" fillId="27" borderId="17" xfId="108" applyFont="1" applyFill="1" applyBorder="1" applyAlignment="1">
      <alignment horizontal="center" vertical="center" wrapText="1"/>
    </xf>
    <xf numFmtId="0" fontId="49" fillId="29" borderId="61" xfId="72" applyFont="1" applyFill="1" applyBorder="1" applyAlignment="1" applyProtection="1">
      <alignment horizontal="center" vertical="center" wrapText="1"/>
    </xf>
    <xf numFmtId="0" fontId="49" fillId="27" borderId="34" xfId="72" applyFont="1" applyFill="1" applyBorder="1" applyAlignment="1" applyProtection="1">
      <alignment horizontal="center" vertical="center" wrapText="1"/>
    </xf>
    <xf numFmtId="0" fontId="11" fillId="0" borderId="101" xfId="108" applyBorder="1" applyAlignment="1">
      <alignment horizontal="left" vertical="center" wrapText="1"/>
    </xf>
    <xf numFmtId="169" fontId="89" fillId="29" borderId="33" xfId="72" applyNumberFormat="1" applyFont="1" applyFill="1" applyBorder="1" applyAlignment="1" applyProtection="1">
      <alignment horizontal="center" vertical="center"/>
      <protection locked="0"/>
    </xf>
    <xf numFmtId="0" fontId="11" fillId="0" borderId="102" xfId="108" applyBorder="1" applyAlignment="1">
      <alignment horizontal="left" vertical="center" wrapText="1"/>
    </xf>
    <xf numFmtId="169" fontId="89" fillId="29" borderId="105" xfId="72" applyNumberFormat="1" applyFont="1" applyFill="1" applyBorder="1" applyAlignment="1" applyProtection="1">
      <alignment horizontal="center" vertical="center"/>
      <protection locked="0"/>
    </xf>
    <xf numFmtId="0" fontId="11" fillId="0" borderId="27" xfId="108" applyBorder="1"/>
    <xf numFmtId="0" fontId="15" fillId="0" borderId="14" xfId="108" applyFont="1" applyBorder="1" applyAlignment="1">
      <alignment vertical="center"/>
    </xf>
    <xf numFmtId="0" fontId="62" fillId="0" borderId="0" xfId="73" applyFont="1" applyFill="1" applyBorder="1" applyAlignment="1" applyProtection="1">
      <alignment vertical="center"/>
    </xf>
    <xf numFmtId="169" fontId="11" fillId="29" borderId="10" xfId="73" applyNumberFormat="1" applyFont="1" applyFill="1" applyBorder="1" applyAlignment="1" applyProtection="1">
      <alignment horizontal="center" vertical="center"/>
      <protection locked="0"/>
    </xf>
    <xf numFmtId="0" fontId="70" fillId="27" borderId="66" xfId="109" applyFont="1" applyFill="1" applyBorder="1" applyAlignment="1">
      <alignment horizontal="left" vertical="center"/>
    </xf>
    <xf numFmtId="0" fontId="70" fillId="27" borderId="62" xfId="109" applyFont="1" applyFill="1" applyBorder="1" applyAlignment="1">
      <alignment horizontal="left" vertical="center"/>
    </xf>
    <xf numFmtId="0" fontId="50" fillId="27" borderId="115" xfId="6" applyFont="1" applyFill="1" applyBorder="1" applyAlignment="1" applyProtection="1">
      <alignment horizontal="left" vertical="center"/>
    </xf>
    <xf numFmtId="0" fontId="50" fillId="27" borderId="112" xfId="6" applyFont="1" applyFill="1" applyBorder="1" applyAlignment="1" applyProtection="1">
      <alignment horizontal="left" vertical="center"/>
    </xf>
    <xf numFmtId="0" fontId="50" fillId="27" borderId="106" xfId="6" applyFont="1" applyFill="1" applyBorder="1" applyAlignment="1" applyProtection="1">
      <alignment horizontal="center" vertical="center"/>
    </xf>
    <xf numFmtId="0" fontId="70" fillId="27" borderId="85" xfId="109" applyFont="1" applyFill="1" applyBorder="1" applyAlignment="1">
      <alignment horizontal="center" vertical="center"/>
    </xf>
    <xf numFmtId="169" fontId="62" fillId="29" borderId="10" xfId="70" applyNumberFormat="1" applyFont="1" applyFill="1" applyBorder="1" applyAlignment="1" applyProtection="1">
      <alignment horizontal="center" vertical="center"/>
      <protection locked="0"/>
    </xf>
    <xf numFmtId="169" fontId="49" fillId="26" borderId="111" xfId="60" applyNumberFormat="1" applyFont="1" applyFill="1" applyBorder="1" applyAlignment="1" applyProtection="1">
      <alignment horizontal="center" vertical="center"/>
    </xf>
    <xf numFmtId="169" fontId="49" fillId="26" borderId="106" xfId="60" applyNumberFormat="1" applyFont="1" applyFill="1" applyBorder="1" applyAlignment="1" applyProtection="1">
      <alignment horizontal="center" vertical="center"/>
    </xf>
    <xf numFmtId="0" fontId="51" fillId="0" borderId="0" xfId="110" applyFont="1" applyAlignment="1">
      <alignment horizontal="center" vertical="center"/>
    </xf>
    <xf numFmtId="169" fontId="14" fillId="29" borderId="106" xfId="0" applyNumberFormat="1" applyFont="1" applyFill="1" applyBorder="1" applyAlignment="1" applyProtection="1">
      <alignment horizontal="center" vertical="center"/>
      <protection locked="0"/>
    </xf>
    <xf numFmtId="0" fontId="11" fillId="0" borderId="55" xfId="108" applyBorder="1" applyAlignment="1">
      <alignment vertical="center"/>
    </xf>
    <xf numFmtId="0" fontId="62" fillId="29" borderId="106" xfId="73" applyNumberFormat="1" applyFont="1" applyFill="1" applyBorder="1" applyAlignment="1" applyProtection="1">
      <alignment horizontal="right" vertical="center"/>
      <protection locked="0"/>
    </xf>
    <xf numFmtId="0" fontId="25" fillId="0" borderId="106" xfId="0" applyFont="1" applyBorder="1" applyAlignment="1">
      <alignment vertical="center" wrapText="1"/>
    </xf>
    <xf numFmtId="1" fontId="18" fillId="26" borderId="118" xfId="0" applyNumberFormat="1" applyFont="1" applyFill="1" applyBorder="1" applyAlignment="1">
      <alignment horizontal="center" vertical="center" wrapText="1"/>
    </xf>
    <xf numFmtId="1" fontId="15" fillId="26" borderId="112" xfId="0" applyNumberFormat="1" applyFont="1" applyFill="1" applyBorder="1" applyAlignment="1">
      <alignment horizontal="center" vertical="center" wrapText="1"/>
    </xf>
    <xf numFmtId="0" fontId="11" fillId="0" borderId="100" xfId="108" applyBorder="1" applyAlignment="1">
      <alignment horizontal="center" vertical="center" wrapText="1"/>
    </xf>
    <xf numFmtId="0" fontId="11" fillId="0" borderId="14" xfId="108" applyBorder="1" applyAlignment="1">
      <alignment vertical="center" wrapText="1"/>
    </xf>
    <xf numFmtId="0" fontId="22" fillId="0" borderId="94" xfId="108" applyFont="1" applyBorder="1" applyAlignment="1">
      <alignment vertical="center" wrapText="1"/>
    </xf>
    <xf numFmtId="0" fontId="11" fillId="29" borderId="15" xfId="72" applyFont="1" applyFill="1" applyBorder="1" applyAlignment="1" applyProtection="1">
      <alignment horizontal="center" vertical="center" wrapText="1"/>
      <protection locked="0"/>
    </xf>
    <xf numFmtId="0" fontId="22" fillId="0" borderId="110" xfId="108" applyFont="1" applyBorder="1" applyAlignment="1">
      <alignment vertical="center" wrapText="1"/>
    </xf>
    <xf numFmtId="0" fontId="25" fillId="0" borderId="110" xfId="108" applyFont="1" applyBorder="1" applyAlignment="1">
      <alignment vertical="center" wrapText="1"/>
    </xf>
    <xf numFmtId="0" fontId="11" fillId="29" borderId="101" xfId="72" applyFont="1" applyFill="1" applyBorder="1" applyAlignment="1" applyProtection="1">
      <alignment horizontal="center" vertical="center" wrapText="1"/>
      <protection locked="0"/>
    </xf>
    <xf numFmtId="0" fontId="49" fillId="29" borderId="21" xfId="72" applyFont="1" applyFill="1" applyBorder="1" applyAlignment="1" applyProtection="1">
      <alignment horizontal="center" vertical="center" wrapText="1"/>
      <protection locked="0"/>
    </xf>
    <xf numFmtId="0" fontId="14" fillId="0" borderId="101" xfId="0" applyFont="1" applyBorder="1" applyAlignment="1">
      <alignment horizontal="center" vertical="center"/>
    </xf>
    <xf numFmtId="0" fontId="14" fillId="0" borderId="125" xfId="0" applyFont="1" applyBorder="1" applyAlignment="1">
      <alignment horizontal="center" vertical="center"/>
    </xf>
    <xf numFmtId="0" fontId="14" fillId="0" borderId="125" xfId="0" applyFont="1" applyBorder="1" applyAlignment="1">
      <alignment vertical="center"/>
    </xf>
    <xf numFmtId="0" fontId="14" fillId="0" borderId="116" xfId="108" applyFont="1" applyBorder="1" applyAlignment="1">
      <alignment vertical="center" wrapText="1"/>
    </xf>
    <xf numFmtId="0" fontId="11" fillId="0" borderId="113" xfId="108" applyBorder="1" applyAlignment="1">
      <alignment horizontal="center" vertical="center" wrapText="1"/>
    </xf>
    <xf numFmtId="0" fontId="11" fillId="0" borderId="110" xfId="0" applyFont="1" applyBorder="1" applyAlignment="1">
      <alignment vertical="center" wrapText="1"/>
    </xf>
    <xf numFmtId="1" fontId="15" fillId="29" borderId="112" xfId="0" applyNumberFormat="1" applyFont="1" applyFill="1" applyBorder="1" applyAlignment="1" applyProtection="1">
      <alignment horizontal="center" vertical="center" wrapText="1"/>
      <protection locked="0"/>
    </xf>
    <xf numFmtId="0" fontId="15" fillId="29" borderId="54" xfId="0" applyFont="1" applyFill="1" applyBorder="1" applyAlignment="1" applyProtection="1">
      <alignment horizontal="center" vertical="center" wrapText="1"/>
      <protection locked="0"/>
    </xf>
    <xf numFmtId="0" fontId="11" fillId="0" borderId="109" xfId="0" applyFont="1" applyBorder="1" applyAlignment="1">
      <alignment horizontal="center" vertical="center" wrapText="1"/>
    </xf>
    <xf numFmtId="0" fontId="22" fillId="0" borderId="0" xfId="108" applyFont="1" applyAlignment="1">
      <alignment horizontal="left" vertical="top" wrapText="1"/>
    </xf>
    <xf numFmtId="0" fontId="27" fillId="26" borderId="54" xfId="108" applyFont="1" applyFill="1" applyBorder="1" applyAlignment="1">
      <alignment vertical="center" wrapText="1"/>
    </xf>
    <xf numFmtId="0" fontId="22" fillId="0" borderId="100" xfId="108" applyFont="1" applyBorder="1" applyAlignment="1">
      <alignment horizontal="center" vertical="center" wrapText="1"/>
    </xf>
    <xf numFmtId="0" fontId="25" fillId="27" borderId="80" xfId="108" applyFont="1" applyFill="1" applyBorder="1" applyAlignment="1">
      <alignment horizontal="center" vertical="center" wrapText="1"/>
    </xf>
    <xf numFmtId="0" fontId="11" fillId="0" borderId="106" xfId="0" applyFont="1" applyBorder="1" applyAlignment="1">
      <alignment horizontal="left" vertical="center" wrapText="1"/>
    </xf>
    <xf numFmtId="0" fontId="11" fillId="0" borderId="106" xfId="0" applyFont="1" applyBorder="1" applyAlignment="1">
      <alignment horizontal="left" vertical="center"/>
    </xf>
    <xf numFmtId="1" fontId="15" fillId="26" borderId="100" xfId="0" applyNumberFormat="1"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117" xfId="0" applyFont="1" applyBorder="1" applyAlignment="1">
      <alignment horizontal="center" vertical="center" wrapText="1"/>
    </xf>
    <xf numFmtId="0" fontId="14" fillId="28" borderId="40" xfId="108" applyFont="1" applyFill="1" applyBorder="1" applyAlignment="1">
      <alignment vertical="center" wrapText="1"/>
    </xf>
    <xf numFmtId="1" fontId="15" fillId="26" borderId="54" xfId="0" applyNumberFormat="1" applyFont="1" applyFill="1" applyBorder="1" applyAlignment="1">
      <alignment horizontal="center" vertical="center" wrapText="1"/>
    </xf>
    <xf numFmtId="0" fontId="11" fillId="29" borderId="21" xfId="72" applyFont="1" applyFill="1" applyBorder="1" applyAlignment="1" applyProtection="1">
      <alignment horizontal="center" vertical="center"/>
      <protection locked="0"/>
    </xf>
    <xf numFmtId="0" fontId="0" fillId="0" borderId="78" xfId="0" applyBorder="1" applyAlignment="1">
      <alignment horizontal="left" vertical="center" wrapText="1"/>
    </xf>
    <xf numFmtId="0" fontId="63" fillId="0" borderId="16" xfId="365" applyFont="1" applyBorder="1" applyAlignment="1">
      <alignment vertical="center"/>
    </xf>
    <xf numFmtId="0" fontId="63" fillId="0" borderId="85" xfId="365" applyFont="1" applyBorder="1" applyAlignment="1">
      <alignment horizontal="center" vertical="center"/>
    </xf>
    <xf numFmtId="0" fontId="63" fillId="0" borderId="80" xfId="365" applyFont="1" applyBorder="1" applyAlignment="1">
      <alignment horizontal="center" vertical="center"/>
    </xf>
    <xf numFmtId="0" fontId="63" fillId="0" borderId="114" xfId="365" applyFont="1" applyBorder="1" applyAlignment="1">
      <alignment vertical="center"/>
    </xf>
    <xf numFmtId="0" fontId="61" fillId="0" borderId="100" xfId="365" applyFont="1" applyBorder="1" applyAlignment="1">
      <alignment horizontal="center" vertical="center"/>
    </xf>
    <xf numFmtId="0" fontId="63" fillId="0" borderId="89" xfId="365" applyFont="1" applyBorder="1" applyAlignment="1">
      <alignment vertical="center"/>
    </xf>
    <xf numFmtId="0" fontId="61" fillId="0" borderId="90" xfId="365" applyFont="1" applyBorder="1" applyAlignment="1">
      <alignment horizontal="center" vertical="center"/>
    </xf>
    <xf numFmtId="169" fontId="15" fillId="0" borderId="106" xfId="366" applyNumberFormat="1" applyFont="1" applyBorder="1" applyAlignment="1">
      <alignment horizontal="center" vertical="center"/>
    </xf>
    <xf numFmtId="169" fontId="15" fillId="0" borderId="41" xfId="366" applyNumberFormat="1" applyFont="1" applyBorder="1" applyAlignment="1">
      <alignment horizontal="center" vertical="center"/>
    </xf>
    <xf numFmtId="0" fontId="11" fillId="26" borderId="10" xfId="226" applyFont="1" applyFill="1" applyBorder="1" applyAlignment="1">
      <alignment horizontal="center" vertical="center"/>
    </xf>
    <xf numFmtId="169" fontId="59" fillId="58" borderId="0" xfId="109" applyNumberFormat="1" applyFont="1" applyFill="1"/>
    <xf numFmtId="1" fontId="59" fillId="58" borderId="0" xfId="109" applyNumberFormat="1" applyFont="1" applyFill="1"/>
    <xf numFmtId="0" fontId="59" fillId="59" borderId="0" xfId="263" applyFont="1" applyFill="1"/>
    <xf numFmtId="169" fontId="59" fillId="59" borderId="0" xfId="109" applyNumberFormat="1" applyFont="1" applyFill="1"/>
    <xf numFmtId="0" fontId="59" fillId="59" borderId="0" xfId="366" applyFont="1" applyFill="1"/>
    <xf numFmtId="0" fontId="59" fillId="59" borderId="106" xfId="366" applyFont="1" applyFill="1" applyBorder="1" applyAlignment="1">
      <alignment horizontal="center" vertical="center"/>
    </xf>
    <xf numFmtId="0" fontId="59" fillId="59" borderId="0" xfId="366" applyFont="1" applyFill="1" applyAlignment="1">
      <alignment horizontal="center" vertical="center"/>
    </xf>
    <xf numFmtId="0" fontId="59" fillId="58" borderId="0" xfId="366" applyFont="1" applyFill="1"/>
    <xf numFmtId="0" fontId="59" fillId="58" borderId="106" xfId="366" applyFont="1" applyFill="1" applyBorder="1" applyAlignment="1">
      <alignment horizontal="center" vertical="center"/>
    </xf>
    <xf numFmtId="0" fontId="59" fillId="58" borderId="0" xfId="366" applyFont="1" applyFill="1" applyAlignment="1">
      <alignment horizontal="center" vertical="center"/>
    </xf>
    <xf numFmtId="0" fontId="11" fillId="29" borderId="106" xfId="73" applyFont="1" applyFill="1" applyBorder="1" applyAlignment="1" applyProtection="1">
      <alignment horizontal="right" vertical="center"/>
    </xf>
    <xf numFmtId="0" fontId="11" fillId="29" borderId="41" xfId="73" applyFont="1" applyFill="1" applyBorder="1" applyAlignment="1" applyProtection="1">
      <alignment horizontal="right" vertical="center"/>
    </xf>
    <xf numFmtId="0" fontId="60" fillId="0" borderId="111" xfId="109" applyFont="1" applyBorder="1" applyAlignment="1">
      <alignment vertical="center"/>
    </xf>
    <xf numFmtId="0" fontId="60" fillId="0" borderId="91" xfId="109" applyFont="1" applyBorder="1" applyAlignment="1">
      <alignment vertical="center"/>
    </xf>
    <xf numFmtId="0" fontId="61" fillId="0" borderId="25" xfId="109" applyFont="1" applyBorder="1" applyAlignment="1">
      <alignment vertical="center"/>
    </xf>
    <xf numFmtId="0" fontId="60" fillId="0" borderId="100" xfId="109" applyFont="1" applyBorder="1" applyAlignment="1">
      <alignment vertical="center"/>
    </xf>
    <xf numFmtId="0" fontId="60" fillId="0" borderId="95" xfId="109" applyFont="1" applyBorder="1" applyAlignment="1">
      <alignment vertical="center"/>
    </xf>
    <xf numFmtId="0" fontId="60" fillId="0" borderId="101" xfId="109" applyFont="1" applyBorder="1" applyAlignment="1">
      <alignment vertical="center"/>
    </xf>
    <xf numFmtId="0" fontId="60" fillId="0" borderId="118" xfId="109" applyFont="1" applyBorder="1" applyAlignment="1">
      <alignment vertical="center"/>
    </xf>
    <xf numFmtId="0" fontId="60" fillId="0" borderId="90" xfId="109" applyFont="1" applyBorder="1" applyAlignment="1">
      <alignment vertical="center"/>
    </xf>
    <xf numFmtId="1" fontId="59" fillId="0" borderId="0" xfId="109" applyNumberFormat="1" applyFont="1"/>
    <xf numFmtId="1" fontId="59" fillId="58" borderId="106" xfId="366" applyNumberFormat="1" applyFont="1" applyFill="1" applyBorder="1"/>
    <xf numFmtId="1" fontId="59" fillId="59" borderId="106" xfId="366" applyNumberFormat="1" applyFont="1" applyFill="1" applyBorder="1"/>
    <xf numFmtId="0" fontId="14" fillId="29" borderId="106" xfId="0" applyFont="1" applyFill="1" applyBorder="1" applyAlignment="1" applyProtection="1">
      <alignment horizontal="center" vertical="center"/>
      <protection locked="0"/>
    </xf>
    <xf numFmtId="169" fontId="49" fillId="26" borderId="106" xfId="105" applyNumberFormat="1" applyFont="1" applyFill="1" applyBorder="1" applyAlignment="1" applyProtection="1">
      <alignment horizontal="center" vertical="center"/>
    </xf>
    <xf numFmtId="9" fontId="11" fillId="29" borderId="106" xfId="105" applyFont="1" applyFill="1" applyBorder="1" applyAlignment="1" applyProtection="1">
      <alignment horizontal="center" vertical="center"/>
      <protection locked="0"/>
    </xf>
    <xf numFmtId="9" fontId="49" fillId="26" borderId="106" xfId="105" applyFont="1" applyFill="1" applyBorder="1" applyAlignment="1" applyProtection="1">
      <alignment horizontal="center" vertical="center"/>
    </xf>
    <xf numFmtId="167" fontId="11" fillId="29" borderId="106" xfId="87" applyNumberFormat="1" applyFont="1" applyFill="1" applyBorder="1" applyAlignment="1" applyProtection="1">
      <alignment horizontal="center" vertical="center"/>
      <protection locked="0"/>
    </xf>
    <xf numFmtId="0" fontId="49" fillId="27" borderId="106" xfId="0" applyFont="1" applyFill="1" applyBorder="1" applyAlignment="1">
      <alignment horizontal="center" vertical="center"/>
    </xf>
    <xf numFmtId="0" fontId="49" fillId="27" borderId="111" xfId="0" applyFont="1" applyFill="1" applyBorder="1" applyAlignment="1">
      <alignment vertical="center"/>
    </xf>
    <xf numFmtId="0" fontId="49" fillId="27" borderId="113" xfId="0" applyFont="1" applyFill="1" applyBorder="1" applyAlignment="1">
      <alignment vertical="center"/>
    </xf>
    <xf numFmtId="0" fontId="49" fillId="27" borderId="112" xfId="0" applyFont="1" applyFill="1" applyBorder="1" applyAlignment="1">
      <alignment vertical="center"/>
    </xf>
    <xf numFmtId="1" fontId="49" fillId="26" borderId="106" xfId="105" applyNumberFormat="1" applyFont="1" applyFill="1" applyBorder="1" applyAlignment="1" applyProtection="1">
      <alignment horizontal="center" vertical="center"/>
    </xf>
    <xf numFmtId="0" fontId="60" fillId="0" borderId="0" xfId="367"/>
    <xf numFmtId="0" fontId="14" fillId="27" borderId="127" xfId="108" applyFont="1" applyFill="1" applyBorder="1" applyAlignment="1">
      <alignment vertical="center" wrapText="1"/>
    </xf>
    <xf numFmtId="0" fontId="14" fillId="27" borderId="128" xfId="108" applyFont="1" applyFill="1" applyBorder="1" applyAlignment="1">
      <alignment vertical="center" wrapText="1"/>
    </xf>
    <xf numFmtId="0" fontId="14" fillId="27" borderId="35" xfId="108" applyFont="1" applyFill="1" applyBorder="1" applyAlignment="1">
      <alignment horizontal="center" vertical="center" wrapText="1"/>
    </xf>
    <xf numFmtId="0" fontId="49" fillId="27" borderId="34" xfId="368" applyFont="1" applyFill="1" applyBorder="1" applyAlignment="1">
      <alignment horizontal="center" vertical="center"/>
    </xf>
    <xf numFmtId="0" fontId="60" fillId="0" borderId="106" xfId="367" applyBorder="1" applyAlignment="1">
      <alignment vertical="center" wrapText="1"/>
    </xf>
    <xf numFmtId="0" fontId="60" fillId="0" borderId="111" xfId="367" applyBorder="1" applyAlignment="1">
      <alignment horizontal="center" vertical="center" wrapText="1"/>
    </xf>
    <xf numFmtId="0" fontId="11" fillId="0" borderId="33" xfId="108" applyBorder="1" applyAlignment="1">
      <alignment horizontal="center" vertical="center"/>
    </xf>
    <xf numFmtId="0" fontId="60" fillId="0" borderId="111" xfId="367" applyBorder="1" applyAlignment="1">
      <alignment vertical="center" wrapText="1"/>
    </xf>
    <xf numFmtId="0" fontId="60" fillId="0" borderId="100" xfId="367" applyBorder="1" applyAlignment="1">
      <alignment horizontal="center" vertical="center" wrapText="1"/>
    </xf>
    <xf numFmtId="0" fontId="11" fillId="29" borderId="33" xfId="108" applyFill="1" applyBorder="1" applyAlignment="1" applyProtection="1">
      <alignment horizontal="center" vertical="center" wrapText="1"/>
      <protection locked="0"/>
    </xf>
    <xf numFmtId="0" fontId="93" fillId="0" borderId="106" xfId="367" applyFont="1" applyBorder="1" applyAlignment="1">
      <alignment vertical="center" wrapText="1"/>
    </xf>
    <xf numFmtId="0" fontId="94" fillId="26" borderId="82" xfId="108" applyFont="1" applyFill="1" applyBorder="1" applyAlignment="1">
      <alignment vertical="center" wrapText="1"/>
    </xf>
    <xf numFmtId="0" fontId="94" fillId="26" borderId="109" xfId="108" applyFont="1" applyFill="1" applyBorder="1" applyAlignment="1">
      <alignment vertical="center" wrapText="1"/>
    </xf>
    <xf numFmtId="0" fontId="94" fillId="26" borderId="109" xfId="108" applyFont="1" applyFill="1" applyBorder="1" applyAlignment="1">
      <alignment horizontal="center" vertical="center" wrapText="1"/>
    </xf>
    <xf numFmtId="0" fontId="94" fillId="26" borderId="28" xfId="108" applyFont="1" applyFill="1" applyBorder="1" applyAlignment="1">
      <alignment horizontal="center" vertical="center" wrapText="1"/>
    </xf>
    <xf numFmtId="0" fontId="71" fillId="0" borderId="0" xfId="367" applyFont="1" applyAlignment="1">
      <alignment vertical="center"/>
    </xf>
    <xf numFmtId="0" fontId="15" fillId="29" borderId="0" xfId="0" applyFont="1" applyFill="1" applyAlignment="1" applyProtection="1">
      <alignment horizontal="center" vertical="center" wrapText="1"/>
      <protection locked="0"/>
    </xf>
    <xf numFmtId="0" fontId="11" fillId="0" borderId="113" xfId="0" applyFont="1" applyBorder="1" applyAlignment="1">
      <alignment vertical="center"/>
    </xf>
    <xf numFmtId="0" fontId="14" fillId="0" borderId="106" xfId="0" applyFont="1" applyBorder="1" applyAlignment="1">
      <alignment horizontal="center" vertical="center"/>
    </xf>
    <xf numFmtId="0" fontId="14" fillId="0" borderId="106" xfId="0" applyFont="1" applyBorder="1" applyAlignment="1">
      <alignment horizontal="left" vertical="center" wrapText="1"/>
    </xf>
    <xf numFmtId="0" fontId="14" fillId="0" borderId="106" xfId="0" applyFont="1" applyBorder="1" applyAlignment="1">
      <alignment vertical="center" wrapText="1"/>
    </xf>
    <xf numFmtId="0" fontId="14" fillId="0" borderId="106" xfId="0" applyFont="1" applyBorder="1" applyAlignment="1">
      <alignment vertical="center"/>
    </xf>
    <xf numFmtId="0" fontId="14" fillId="0" borderId="114" xfId="0" applyFont="1" applyBorder="1" applyAlignment="1">
      <alignment horizontal="center" vertical="center"/>
    </xf>
    <xf numFmtId="165" fontId="14" fillId="0" borderId="106" xfId="0" applyNumberFormat="1" applyFont="1" applyBorder="1" applyAlignment="1">
      <alignment horizontal="center" vertical="center"/>
    </xf>
    <xf numFmtId="0" fontId="14" fillId="0" borderId="106" xfId="0" applyFont="1" applyBorder="1" applyAlignment="1">
      <alignment horizontal="center" vertical="center" wrapText="1"/>
    </xf>
    <xf numFmtId="0" fontId="25" fillId="0" borderId="106" xfId="0" applyFont="1" applyBorder="1" applyAlignment="1">
      <alignment horizontal="center" vertical="center" wrapText="1"/>
    </xf>
    <xf numFmtId="0" fontId="14" fillId="0" borderId="89" xfId="0" applyFont="1" applyBorder="1" applyAlignment="1">
      <alignment horizontal="center" vertical="center"/>
    </xf>
    <xf numFmtId="0" fontId="22" fillId="0" borderId="106" xfId="108" applyFont="1" applyBorder="1" applyAlignment="1">
      <alignment vertical="center" wrapText="1"/>
    </xf>
    <xf numFmtId="0" fontId="22" fillId="0" borderId="130" xfId="108" applyFont="1" applyBorder="1" applyAlignment="1">
      <alignment horizontal="center" vertical="center" wrapText="1"/>
    </xf>
    <xf numFmtId="0" fontId="25" fillId="27" borderId="17" xfId="108" applyFont="1" applyFill="1" applyBorder="1" applyAlignment="1">
      <alignment horizontal="center" vertical="center" wrapText="1"/>
    </xf>
    <xf numFmtId="1" fontId="15" fillId="26" borderId="131" xfId="0" applyNumberFormat="1" applyFont="1" applyFill="1" applyBorder="1" applyAlignment="1">
      <alignment horizontal="center" vertical="center" wrapText="1"/>
    </xf>
    <xf numFmtId="0" fontId="11" fillId="0" borderId="110" xfId="0" applyFont="1" applyBorder="1" applyAlignment="1">
      <alignment vertical="center"/>
    </xf>
    <xf numFmtId="0" fontId="11" fillId="0" borderId="111" xfId="108" applyBorder="1" applyAlignment="1">
      <alignment horizontal="center" vertical="center" wrapText="1"/>
    </xf>
    <xf numFmtId="0" fontId="11" fillId="0" borderId="129" xfId="108" applyBorder="1" applyAlignment="1">
      <alignment horizontal="center" vertical="center" wrapText="1"/>
    </xf>
    <xf numFmtId="0" fontId="15" fillId="26" borderId="91" xfId="108" applyFont="1" applyFill="1" applyBorder="1" applyAlignment="1">
      <alignment horizontal="center" vertical="center"/>
    </xf>
    <xf numFmtId="0" fontId="11" fillId="0" borderId="33" xfId="108" applyBorder="1" applyAlignment="1">
      <alignment horizontal="center" vertical="center" wrapText="1"/>
    </xf>
    <xf numFmtId="0" fontId="11" fillId="0" borderId="112" xfId="108" applyBorder="1" applyAlignment="1">
      <alignment horizontal="center" vertical="center"/>
    </xf>
    <xf numFmtId="0" fontId="11" fillId="0" borderId="54" xfId="108" applyBorder="1" applyAlignment="1">
      <alignment horizontal="center" vertical="center"/>
    </xf>
    <xf numFmtId="1" fontId="15" fillId="26" borderId="33" xfId="108" applyNumberFormat="1" applyFont="1" applyFill="1" applyBorder="1" applyAlignment="1">
      <alignment horizontal="center" vertical="center"/>
    </xf>
    <xf numFmtId="0" fontId="11" fillId="0" borderId="123" xfId="108" applyBorder="1" applyAlignment="1">
      <alignment horizontal="center" vertical="center" wrapText="1"/>
    </xf>
    <xf numFmtId="0" fontId="11" fillId="0" borderId="22" xfId="108" applyBorder="1" applyAlignment="1">
      <alignment horizontal="center" vertical="center" wrapText="1"/>
    </xf>
    <xf numFmtId="0" fontId="11" fillId="0" borderId="131" xfId="108" applyBorder="1" applyAlignment="1">
      <alignment horizontal="center" vertical="center" wrapText="1"/>
    </xf>
    <xf numFmtId="0" fontId="11" fillId="0" borderId="15" xfId="108" applyBorder="1" applyAlignment="1">
      <alignment horizontal="center" vertical="center" wrapText="1"/>
    </xf>
    <xf numFmtId="0" fontId="11" fillId="0" borderId="43" xfId="108" applyBorder="1" applyAlignment="1">
      <alignment vertical="center" wrapText="1"/>
    </xf>
    <xf numFmtId="0" fontId="11" fillId="0" borderId="125" xfId="108" applyBorder="1" applyAlignment="1">
      <alignment vertical="center" wrapText="1"/>
    </xf>
    <xf numFmtId="0" fontId="11" fillId="0" borderId="117" xfId="108" applyBorder="1" applyAlignment="1">
      <alignment horizontal="center" vertical="center" wrapText="1"/>
    </xf>
    <xf numFmtId="0" fontId="11" fillId="29" borderId="33" xfId="72" applyFont="1" applyFill="1" applyBorder="1" applyAlignment="1" applyProtection="1">
      <alignment horizontal="center" vertical="center"/>
      <protection locked="0"/>
    </xf>
    <xf numFmtId="0" fontId="49" fillId="27" borderId="34" xfId="72" applyFont="1" applyFill="1" applyBorder="1" applyAlignment="1" applyProtection="1">
      <alignment horizontal="center" vertical="center"/>
    </xf>
    <xf numFmtId="0" fontId="11" fillId="0" borderId="21" xfId="108" applyBorder="1" applyAlignment="1">
      <alignment horizontal="center" vertical="center"/>
    </xf>
    <xf numFmtId="0" fontId="14" fillId="0" borderId="0" xfId="0" applyFont="1" applyAlignment="1">
      <alignment horizontal="center" vertical="center" wrapText="1"/>
    </xf>
    <xf numFmtId="0" fontId="11" fillId="26" borderId="106" xfId="226" applyFont="1" applyFill="1" applyBorder="1" applyAlignment="1">
      <alignment horizontal="center" vertical="center"/>
    </xf>
    <xf numFmtId="0" fontId="60" fillId="0" borderId="116" xfId="109" applyFont="1" applyBorder="1" applyAlignment="1">
      <alignment vertical="center"/>
    </xf>
    <xf numFmtId="0" fontId="11" fillId="26" borderId="41" xfId="226" applyFont="1" applyFill="1" applyBorder="1" applyAlignment="1">
      <alignment horizontal="center" vertical="center"/>
    </xf>
    <xf numFmtId="0" fontId="69" fillId="0" borderId="90" xfId="123" applyFont="1" applyBorder="1"/>
    <xf numFmtId="169" fontId="11" fillId="26" borderId="125" xfId="622" applyNumberFormat="1" applyFont="1" applyFill="1" applyBorder="1" applyAlignment="1" applyProtection="1">
      <alignment horizontal="right" vertical="center"/>
    </xf>
    <xf numFmtId="169" fontId="62" fillId="29" borderId="106" xfId="622" applyNumberFormat="1" applyFont="1" applyFill="1" applyBorder="1" applyAlignment="1" applyProtection="1">
      <alignment horizontal="right" vertical="center"/>
      <protection locked="0"/>
    </xf>
    <xf numFmtId="169" fontId="62" fillId="29" borderId="125" xfId="622" applyNumberFormat="1" applyFont="1" applyFill="1" applyBorder="1" applyAlignment="1" applyProtection="1">
      <alignment horizontal="right" vertical="center"/>
      <protection locked="0"/>
    </xf>
    <xf numFmtId="0" fontId="11" fillId="0" borderId="41" xfId="108" applyBorder="1" applyAlignment="1">
      <alignment vertical="center" wrapText="1"/>
    </xf>
    <xf numFmtId="0" fontId="11" fillId="0" borderId="90" xfId="108" applyBorder="1" applyAlignment="1">
      <alignment horizontal="center" vertical="center" wrapText="1"/>
    </xf>
    <xf numFmtId="0" fontId="11" fillId="26" borderId="0" xfId="108" applyFill="1" applyAlignment="1">
      <alignment vertical="center"/>
    </xf>
    <xf numFmtId="0" fontId="11" fillId="0" borderId="137" xfId="108" applyBorder="1" applyAlignment="1">
      <alignment horizontal="center" vertical="center" wrapText="1"/>
    </xf>
    <xf numFmtId="0" fontId="45" fillId="34" borderId="84"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15" fillId="37" borderId="10" xfId="0" applyFont="1" applyFill="1" applyBorder="1" applyAlignment="1">
      <alignment horizontal="center" vertical="center" wrapText="1"/>
    </xf>
    <xf numFmtId="0" fontId="45" fillId="36" borderId="67" xfId="0" applyFont="1" applyFill="1" applyBorder="1" applyAlignment="1">
      <alignment horizontal="center" vertical="center" wrapText="1"/>
    </xf>
    <xf numFmtId="0" fontId="15" fillId="30" borderId="10" xfId="0" applyFont="1" applyFill="1" applyBorder="1" applyAlignment="1">
      <alignment horizontal="center" vertical="center" wrapText="1"/>
    </xf>
    <xf numFmtId="0" fontId="45" fillId="23" borderId="67" xfId="0" applyFont="1" applyFill="1" applyBorder="1" applyAlignment="1">
      <alignment horizontal="center" vertical="center" wrapText="1"/>
    </xf>
    <xf numFmtId="0" fontId="15" fillId="27" borderId="10" xfId="0" applyFont="1" applyFill="1" applyBorder="1" applyAlignment="1">
      <alignment horizontal="center" vertical="center" wrapText="1"/>
    </xf>
    <xf numFmtId="0" fontId="14" fillId="0" borderId="0" xfId="0" applyFont="1" applyAlignment="1">
      <alignment horizontal="center" vertical="center"/>
    </xf>
    <xf numFmtId="165" fontId="14" fillId="0" borderId="0" xfId="0" applyNumberFormat="1" applyFont="1" applyAlignment="1">
      <alignment horizontal="center" vertical="center"/>
    </xf>
    <xf numFmtId="165" fontId="15" fillId="27" borderId="10" xfId="0" applyNumberFormat="1" applyFont="1" applyFill="1" applyBorder="1" applyAlignment="1">
      <alignment horizontal="center" vertical="center"/>
    </xf>
    <xf numFmtId="49" fontId="14" fillId="0" borderId="10" xfId="0" applyNumberFormat="1" applyFont="1" applyBorder="1" applyAlignment="1">
      <alignment horizontal="center" vertical="center" wrapText="1"/>
    </xf>
    <xf numFmtId="49" fontId="14" fillId="0" borderId="106" xfId="0" applyNumberFormat="1" applyFont="1" applyBorder="1" applyAlignment="1">
      <alignment horizontal="center" vertical="center" wrapText="1"/>
    </xf>
    <xf numFmtId="165" fontId="14" fillId="0" borderId="32" xfId="0" applyNumberFormat="1" applyFont="1" applyBorder="1" applyAlignment="1">
      <alignment horizontal="center" vertical="center"/>
    </xf>
    <xf numFmtId="0" fontId="14" fillId="0" borderId="32" xfId="0" applyFont="1" applyBorder="1" applyAlignment="1">
      <alignment horizontal="center" vertical="center" wrapText="1"/>
    </xf>
    <xf numFmtId="0" fontId="14" fillId="0" borderId="36" xfId="0" applyFont="1" applyBorder="1" applyAlignment="1">
      <alignment horizontal="center" vertical="center"/>
    </xf>
    <xf numFmtId="0" fontId="15" fillId="27" borderId="18" xfId="0" applyFont="1" applyFill="1" applyBorder="1" applyAlignment="1">
      <alignment horizontal="center" vertical="center"/>
    </xf>
    <xf numFmtId="0" fontId="49" fillId="0" borderId="38" xfId="0" applyFont="1" applyBorder="1" applyAlignment="1">
      <alignment vertical="center"/>
    </xf>
    <xf numFmtId="0" fontId="60" fillId="0" borderId="137" xfId="109" applyFont="1" applyBorder="1" applyAlignment="1">
      <alignment vertical="center"/>
    </xf>
    <xf numFmtId="0" fontId="60" fillId="0" borderId="34" xfId="109" applyFont="1" applyBorder="1" applyAlignment="1">
      <alignment vertical="center"/>
    </xf>
    <xf numFmtId="0" fontId="60" fillId="0" borderId="21" xfId="109" applyFont="1" applyBorder="1" applyAlignment="1">
      <alignment vertical="center"/>
    </xf>
    <xf numFmtId="0" fontId="60" fillId="0" borderId="13" xfId="109" applyFont="1" applyBorder="1" applyAlignment="1">
      <alignment vertical="center"/>
    </xf>
    <xf numFmtId="0" fontId="83" fillId="0" borderId="34" xfId="109" applyFont="1" applyBorder="1" applyAlignment="1">
      <alignment vertical="center"/>
    </xf>
    <xf numFmtId="0" fontId="61" fillId="0" borderId="21" xfId="109" applyFont="1" applyBorder="1" applyAlignment="1">
      <alignment vertical="center"/>
    </xf>
    <xf numFmtId="0" fontId="51" fillId="0" borderId="33" xfId="72" applyFont="1" applyFill="1" applyBorder="1" applyAlignment="1" applyProtection="1">
      <alignment horizontal="center" vertical="center"/>
    </xf>
    <xf numFmtId="0" fontId="11" fillId="0" borderId="123" xfId="108" applyBorder="1" applyAlignment="1">
      <alignment vertical="center" wrapText="1"/>
    </xf>
    <xf numFmtId="0" fontId="49" fillId="29" borderId="61" xfId="72" applyFont="1" applyFill="1" applyBorder="1" applyAlignment="1" applyProtection="1">
      <alignment horizontal="center" vertical="center" wrapText="1"/>
      <protection locked="0"/>
    </xf>
    <xf numFmtId="0" fontId="11" fillId="0" borderId="62" xfId="108" applyBorder="1" applyAlignment="1">
      <alignment horizontal="center" vertical="center"/>
    </xf>
    <xf numFmtId="0" fontId="11" fillId="0" borderId="117" xfId="108" applyBorder="1" applyAlignment="1">
      <alignment vertical="center" wrapText="1"/>
    </xf>
    <xf numFmtId="0" fontId="51" fillId="0" borderId="0" xfId="123" applyFont="1"/>
    <xf numFmtId="0" fontId="15" fillId="0" borderId="0" xfId="0" applyFont="1" applyAlignment="1">
      <alignment vertical="center"/>
    </xf>
    <xf numFmtId="0" fontId="11" fillId="0" borderId="0" xfId="123" applyFont="1"/>
    <xf numFmtId="0" fontId="97" fillId="0" borderId="0" xfId="123" applyFont="1"/>
    <xf numFmtId="0" fontId="51" fillId="0" borderId="14" xfId="123" applyFont="1" applyBorder="1"/>
    <xf numFmtId="0" fontId="51" fillId="27" borderId="67" xfId="123" applyFont="1" applyFill="1" applyBorder="1"/>
    <xf numFmtId="0" fontId="51" fillId="27" borderId="38" xfId="123" applyFont="1" applyFill="1" applyBorder="1"/>
    <xf numFmtId="0" fontId="51" fillId="27" borderId="62" xfId="123" applyFont="1" applyFill="1" applyBorder="1"/>
    <xf numFmtId="0" fontId="51" fillId="0" borderId="40" xfId="123" applyFont="1" applyBorder="1"/>
    <xf numFmtId="0" fontId="51" fillId="0" borderId="38" xfId="123" applyFont="1" applyBorder="1"/>
    <xf numFmtId="0" fontId="51" fillId="0" borderId="39" xfId="123" applyFont="1" applyBorder="1"/>
    <xf numFmtId="0" fontId="11" fillId="0" borderId="114" xfId="0" applyFont="1" applyBorder="1" applyAlignment="1">
      <alignment vertical="center"/>
    </xf>
    <xf numFmtId="0" fontId="51" fillId="0" borderId="123" xfId="123" applyFont="1" applyBorder="1"/>
    <xf numFmtId="0" fontId="14" fillId="0" borderId="22" xfId="123" applyFont="1" applyBorder="1"/>
    <xf numFmtId="0" fontId="51" fillId="0" borderId="25" xfId="123" applyFont="1" applyBorder="1"/>
    <xf numFmtId="0" fontId="51" fillId="0" borderId="27" xfId="123" applyFont="1" applyBorder="1"/>
    <xf numFmtId="0" fontId="51" fillId="0" borderId="15" xfId="123" applyFont="1" applyBorder="1"/>
    <xf numFmtId="0" fontId="98" fillId="0" borderId="0" xfId="123" applyFont="1"/>
    <xf numFmtId="0" fontId="51" fillId="0" borderId="117" xfId="123" applyFont="1" applyBorder="1"/>
    <xf numFmtId="0" fontId="11" fillId="0" borderId="106" xfId="0" applyFont="1" applyBorder="1" applyAlignment="1">
      <alignment vertical="center"/>
    </xf>
    <xf numFmtId="0" fontId="51" fillId="0" borderId="78" xfId="123" applyFont="1" applyBorder="1"/>
    <xf numFmtId="0" fontId="12" fillId="0" borderId="115" xfId="123" applyFont="1" applyBorder="1"/>
    <xf numFmtId="0" fontId="51" fillId="0" borderId="113" xfId="123" applyFont="1" applyBorder="1"/>
    <xf numFmtId="0" fontId="51" fillId="0" borderId="118" xfId="123" applyFont="1" applyBorder="1"/>
    <xf numFmtId="0" fontId="51" fillId="27" borderId="0" xfId="123" applyFont="1" applyFill="1"/>
    <xf numFmtId="0" fontId="51" fillId="27" borderId="113" xfId="123" applyFont="1" applyFill="1" applyBorder="1"/>
    <xf numFmtId="0" fontId="51" fillId="27" borderId="22" xfId="123" applyFont="1" applyFill="1" applyBorder="1"/>
    <xf numFmtId="0" fontId="51" fillId="27" borderId="25" xfId="123" applyFont="1" applyFill="1" applyBorder="1"/>
    <xf numFmtId="0" fontId="12" fillId="0" borderId="0" xfId="123" applyFont="1"/>
    <xf numFmtId="0" fontId="51" fillId="0" borderId="22" xfId="123" applyFont="1" applyBorder="1"/>
    <xf numFmtId="0" fontId="51" fillId="0" borderId="130" xfId="123" applyFont="1" applyBorder="1"/>
    <xf numFmtId="0" fontId="14" fillId="0" borderId="58" xfId="0" applyFont="1" applyBorder="1" applyAlignment="1">
      <alignment vertical="center"/>
    </xf>
    <xf numFmtId="0" fontId="51" fillId="0" borderId="51" xfId="123" applyFont="1" applyBorder="1"/>
    <xf numFmtId="0" fontId="51" fillId="0" borderId="26" xfId="123" applyFont="1" applyBorder="1"/>
    <xf numFmtId="0" fontId="51" fillId="27" borderId="112" xfId="123" applyFont="1" applyFill="1" applyBorder="1"/>
    <xf numFmtId="0" fontId="12" fillId="27" borderId="114" xfId="0" applyFont="1" applyFill="1" applyBorder="1" applyAlignment="1">
      <alignment horizontal="center"/>
    </xf>
    <xf numFmtId="0" fontId="11" fillId="0" borderId="0" xfId="123" applyFont="1" applyAlignment="1">
      <alignment horizontal="left" vertical="center"/>
    </xf>
    <xf numFmtId="0" fontId="51" fillId="0" borderId="103" xfId="123" applyFont="1" applyBorder="1"/>
    <xf numFmtId="0" fontId="51" fillId="0" borderId="0" xfId="123" applyFont="1" applyAlignment="1">
      <alignment horizontal="center" vertical="center"/>
    </xf>
    <xf numFmtId="0" fontId="13" fillId="0" borderId="0" xfId="123" applyFont="1" applyAlignment="1">
      <alignment horizontal="center"/>
    </xf>
    <xf numFmtId="0" fontId="51" fillId="0" borderId="44" xfId="123" applyFont="1" applyBorder="1" applyAlignment="1">
      <alignment horizontal="center" vertical="center"/>
    </xf>
    <xf numFmtId="0" fontId="11" fillId="0" borderId="0" xfId="123" applyFont="1" applyAlignment="1">
      <alignment horizontal="center" vertical="center"/>
    </xf>
    <xf numFmtId="0" fontId="51" fillId="0" borderId="106" xfId="123" applyFont="1" applyBorder="1" applyAlignment="1">
      <alignment horizontal="center" vertical="center"/>
    </xf>
    <xf numFmtId="0" fontId="51" fillId="0" borderId="125" xfId="123" applyFont="1" applyBorder="1" applyAlignment="1">
      <alignment horizontal="center" vertical="center"/>
    </xf>
    <xf numFmtId="0" fontId="11" fillId="0" borderId="0" xfId="123" applyFont="1" applyAlignment="1">
      <alignment vertical="center"/>
    </xf>
    <xf numFmtId="0" fontId="51" fillId="0" borderId="103" xfId="123" applyFont="1" applyBorder="1" applyAlignment="1">
      <alignment horizontal="left" vertical="center"/>
    </xf>
    <xf numFmtId="0" fontId="51" fillId="0" borderId="22" xfId="123" applyFont="1" applyBorder="1" applyAlignment="1">
      <alignment horizontal="left" vertical="center"/>
    </xf>
    <xf numFmtId="0" fontId="51" fillId="0" borderId="22" xfId="123" applyFont="1" applyBorder="1" applyAlignment="1">
      <alignment horizontal="center" vertical="center"/>
    </xf>
    <xf numFmtId="0" fontId="51" fillId="27" borderId="113" xfId="123" applyFont="1" applyFill="1" applyBorder="1" applyAlignment="1">
      <alignment horizontal="center" vertical="center"/>
    </xf>
    <xf numFmtId="0" fontId="13" fillId="27" borderId="113" xfId="123" applyFont="1" applyFill="1" applyBorder="1" applyAlignment="1">
      <alignment horizontal="center"/>
    </xf>
    <xf numFmtId="2" fontId="51" fillId="27" borderId="113" xfId="123" applyNumberFormat="1" applyFont="1" applyFill="1" applyBorder="1" applyAlignment="1">
      <alignment horizontal="center" vertical="center"/>
    </xf>
    <xf numFmtId="0" fontId="51" fillId="27" borderId="112" xfId="123" applyFont="1" applyFill="1" applyBorder="1" applyAlignment="1">
      <alignment horizontal="center" vertical="center"/>
    </xf>
    <xf numFmtId="0" fontId="51" fillId="0" borderId="106" xfId="0" applyFont="1" applyBorder="1" applyAlignment="1">
      <alignment horizontal="center" vertical="center"/>
    </xf>
    <xf numFmtId="1" fontId="15" fillId="0" borderId="37" xfId="123" applyNumberFormat="1" applyFont="1" applyBorder="1"/>
    <xf numFmtId="0" fontId="68" fillId="0" borderId="0" xfId="123" applyFont="1"/>
    <xf numFmtId="0" fontId="11" fillId="29" borderId="105" xfId="108" applyFill="1" applyBorder="1" applyAlignment="1" applyProtection="1">
      <alignment horizontal="center" vertical="center"/>
      <protection locked="0"/>
    </xf>
    <xf numFmtId="0" fontId="11" fillId="29" borderId="28" xfId="108" applyFill="1" applyBorder="1" applyAlignment="1" applyProtection="1">
      <alignment horizontal="center" vertical="center"/>
      <protection locked="0"/>
    </xf>
    <xf numFmtId="0" fontId="11" fillId="0" borderId="44" xfId="108" applyBorder="1" applyAlignment="1">
      <alignment horizontal="left" vertical="center" wrapText="1"/>
    </xf>
    <xf numFmtId="0" fontId="22" fillId="0" borderId="111" xfId="108" applyFont="1" applyBorder="1" applyAlignment="1">
      <alignment vertical="center" wrapText="1"/>
    </xf>
    <xf numFmtId="0" fontId="63" fillId="0" borderId="16" xfId="1109" applyFont="1" applyBorder="1" applyAlignment="1">
      <alignment vertical="center"/>
    </xf>
    <xf numFmtId="0" fontId="63" fillId="0" borderId="85" xfId="1109" applyFont="1" applyBorder="1" applyAlignment="1">
      <alignment horizontal="center" vertical="center"/>
    </xf>
    <xf numFmtId="0" fontId="63" fillId="0" borderId="80" xfId="1109" applyFont="1" applyBorder="1" applyAlignment="1">
      <alignment horizontal="center" vertical="center"/>
    </xf>
    <xf numFmtId="0" fontId="63" fillId="0" borderId="114" xfId="1109" applyFont="1" applyBorder="1" applyAlignment="1">
      <alignment vertical="center"/>
    </xf>
    <xf numFmtId="1" fontId="15" fillId="0" borderId="106" xfId="1110" applyNumberFormat="1" applyFont="1" applyBorder="1" applyAlignment="1">
      <alignment horizontal="center" vertical="center"/>
    </xf>
    <xf numFmtId="0" fontId="61" fillId="0" borderId="100" xfId="1109" applyFont="1" applyBorder="1" applyAlignment="1">
      <alignment horizontal="center" vertical="center"/>
    </xf>
    <xf numFmtId="0" fontId="0" fillId="0" borderId="106" xfId="0" applyBorder="1" applyAlignment="1">
      <alignment vertical="center"/>
    </xf>
    <xf numFmtId="0" fontId="59" fillId="0" borderId="113" xfId="123" applyFont="1" applyBorder="1"/>
    <xf numFmtId="0" fontId="59" fillId="0" borderId="110" xfId="123" applyFont="1" applyBorder="1"/>
    <xf numFmtId="0" fontId="60" fillId="0" borderId="0" xfId="123" applyFont="1" applyAlignment="1">
      <alignment vertical="center"/>
    </xf>
    <xf numFmtId="1" fontId="49" fillId="26" borderId="106" xfId="105" applyNumberFormat="1" applyFont="1" applyFill="1" applyBorder="1" applyAlignment="1">
      <alignment horizontal="center" vertical="center"/>
    </xf>
    <xf numFmtId="0" fontId="60" fillId="0" borderId="15" xfId="123" applyFont="1" applyBorder="1" applyAlignment="1">
      <alignment vertical="center" wrapText="1"/>
    </xf>
    <xf numFmtId="0" fontId="60" fillId="0" borderId="15" xfId="123" applyFont="1" applyBorder="1" applyAlignment="1">
      <alignment vertical="center"/>
    </xf>
    <xf numFmtId="0" fontId="0" fillId="0" borderId="110" xfId="123" applyFont="1" applyBorder="1" applyAlignment="1" applyProtection="1">
      <alignment horizontal="left" vertical="center" wrapText="1"/>
      <protection locked="0"/>
    </xf>
    <xf numFmtId="0" fontId="22" fillId="0" borderId="111" xfId="1111" applyFont="1" applyBorder="1" applyAlignment="1">
      <alignment vertical="center" wrapText="1"/>
    </xf>
    <xf numFmtId="1" fontId="59" fillId="58" borderId="0" xfId="366" applyNumberFormat="1" applyFont="1" applyFill="1"/>
    <xf numFmtId="1" fontId="59" fillId="59" borderId="0" xfId="109" applyNumberFormat="1" applyFont="1" applyFill="1"/>
    <xf numFmtId="1" fontId="59" fillId="59" borderId="0" xfId="366" applyNumberFormat="1" applyFont="1" applyFill="1"/>
    <xf numFmtId="1" fontId="59" fillId="59" borderId="0" xfId="263" applyNumberFormat="1" applyFont="1" applyFill="1"/>
    <xf numFmtId="1" fontId="59" fillId="59" borderId="106" xfId="109" applyNumberFormat="1" applyFont="1" applyFill="1" applyBorder="1"/>
    <xf numFmtId="1" fontId="59" fillId="58" borderId="106" xfId="109" applyNumberFormat="1" applyFont="1" applyFill="1" applyBorder="1"/>
    <xf numFmtId="0" fontId="14" fillId="0" borderId="44" xfId="0" applyFont="1" applyBorder="1" applyAlignment="1">
      <alignment vertical="center" wrapText="1"/>
    </xf>
    <xf numFmtId="1" fontId="15" fillId="29" borderId="95" xfId="0" applyNumberFormat="1" applyFont="1" applyFill="1" applyBorder="1" applyAlignment="1" applyProtection="1">
      <alignment horizontal="center" vertical="center" wrapText="1"/>
      <protection locked="0"/>
    </xf>
    <xf numFmtId="0" fontId="15" fillId="29" borderId="100" xfId="0" applyFont="1" applyFill="1" applyBorder="1" applyAlignment="1" applyProtection="1">
      <alignment horizontal="center" vertical="center" wrapText="1"/>
      <protection locked="0"/>
    </xf>
    <xf numFmtId="0" fontId="11" fillId="0" borderId="0" xfId="1111" applyAlignment="1">
      <alignment wrapText="1"/>
    </xf>
    <xf numFmtId="0" fontId="11" fillId="0" borderId="0" xfId="1111" applyAlignment="1" applyProtection="1">
      <alignment vertical="center" wrapText="1"/>
      <protection locked="0"/>
    </xf>
    <xf numFmtId="0" fontId="11" fillId="0" borderId="114" xfId="1111" applyBorder="1" applyAlignment="1">
      <alignment horizontal="left" vertical="center" wrapText="1"/>
    </xf>
    <xf numFmtId="0" fontId="11" fillId="0" borderId="0" xfId="1111" applyAlignment="1">
      <alignment horizontal="left" vertical="center" wrapText="1"/>
    </xf>
    <xf numFmtId="0" fontId="15" fillId="0" borderId="14" xfId="1111" applyFont="1" applyBorder="1" applyAlignment="1">
      <alignment horizontal="center" vertical="center"/>
    </xf>
    <xf numFmtId="0" fontId="15" fillId="0" borderId="0" xfId="1111" applyFont="1" applyAlignment="1">
      <alignment horizontal="center" vertical="center"/>
    </xf>
    <xf numFmtId="0" fontId="15" fillId="0" borderId="0" xfId="1111" applyFont="1" applyAlignment="1">
      <alignment vertical="center"/>
    </xf>
    <xf numFmtId="0" fontId="11" fillId="0" borderId="0" xfId="1111" applyAlignment="1">
      <alignment vertical="center" wrapText="1"/>
    </xf>
    <xf numFmtId="0" fontId="14" fillId="28" borderId="40" xfId="1111" applyFont="1" applyFill="1" applyBorder="1" applyAlignment="1">
      <alignment vertical="center" wrapText="1"/>
    </xf>
    <xf numFmtId="0" fontId="14" fillId="28" borderId="35" xfId="1111" applyFont="1" applyFill="1" applyBorder="1" applyAlignment="1">
      <alignment horizontal="center" vertical="center" wrapText="1"/>
    </xf>
    <xf numFmtId="0" fontId="14" fillId="28" borderId="34" xfId="1111" applyFont="1" applyFill="1" applyBorder="1" applyAlignment="1">
      <alignment vertical="center" wrapText="1"/>
    </xf>
    <xf numFmtId="0" fontId="43" fillId="0" borderId="0" xfId="86" applyProtection="1">
      <alignment vertical="top"/>
    </xf>
    <xf numFmtId="0" fontId="11" fillId="0" borderId="100" xfId="1111" applyBorder="1" applyAlignment="1">
      <alignment horizontal="center" vertical="center" wrapText="1"/>
    </xf>
    <xf numFmtId="0" fontId="11" fillId="29" borderId="15" xfId="368" applyFont="1" applyFill="1" applyBorder="1" applyAlignment="1" applyProtection="1">
      <alignment horizontal="center" vertical="center" wrapText="1"/>
      <protection locked="0"/>
    </xf>
    <xf numFmtId="0" fontId="11" fillId="0" borderId="111" xfId="1111" applyBorder="1" applyAlignment="1">
      <alignment horizontal="center" vertical="center" wrapText="1"/>
    </xf>
    <xf numFmtId="0" fontId="11" fillId="29" borderId="33" xfId="368" applyFont="1" applyFill="1" applyBorder="1" applyAlignment="1" applyProtection="1">
      <alignment horizontal="center" vertical="center" wrapText="1"/>
      <protection locked="0"/>
    </xf>
    <xf numFmtId="0" fontId="27" fillId="26" borderId="82" xfId="1111" applyFont="1" applyFill="1" applyBorder="1" applyAlignment="1">
      <alignment vertical="center" wrapText="1"/>
    </xf>
    <xf numFmtId="0" fontId="15" fillId="26" borderId="26" xfId="1111" applyFont="1" applyFill="1" applyBorder="1" applyAlignment="1">
      <alignment horizontal="center" vertical="center" wrapText="1"/>
    </xf>
    <xf numFmtId="0" fontId="15" fillId="26" borderId="13" xfId="1111" applyFont="1" applyFill="1" applyBorder="1" applyAlignment="1">
      <alignment horizontal="center" vertical="center" wrapText="1"/>
    </xf>
    <xf numFmtId="0" fontId="15" fillId="0" borderId="0" xfId="1111" applyFont="1" applyAlignment="1">
      <alignment vertical="center" wrapText="1"/>
    </xf>
    <xf numFmtId="0" fontId="11" fillId="0" borderId="0" xfId="1111" applyAlignment="1">
      <alignment horizontal="center" wrapText="1"/>
    </xf>
    <xf numFmtId="0" fontId="60" fillId="0" borderId="0" xfId="367" applyAlignment="1">
      <alignment horizontal="center" vertical="center"/>
    </xf>
    <xf numFmtId="0" fontId="11" fillId="0" borderId="111" xfId="1111" applyBorder="1" applyAlignment="1">
      <alignment vertical="center" wrapText="1"/>
    </xf>
    <xf numFmtId="0" fontId="14" fillId="0" borderId="110" xfId="1111" applyFont="1" applyBorder="1" applyAlignment="1">
      <alignment vertical="center" wrapText="1"/>
    </xf>
    <xf numFmtId="0" fontId="11" fillId="0" borderId="78" xfId="1111" applyBorder="1" applyAlignment="1">
      <alignment horizontal="left" vertical="center" wrapText="1"/>
    </xf>
    <xf numFmtId="0" fontId="11" fillId="0" borderId="0" xfId="108" applyAlignment="1">
      <alignment horizontal="center"/>
    </xf>
    <xf numFmtId="0" fontId="11" fillId="0" borderId="114" xfId="108" applyBorder="1" applyAlignment="1">
      <alignment horizontal="center" vertical="center"/>
    </xf>
    <xf numFmtId="0" fontId="11" fillId="0" borderId="106" xfId="0" applyFont="1" applyBorder="1" applyAlignment="1" applyProtection="1">
      <alignment horizontal="center" vertical="center" wrapText="1"/>
      <protection locked="0"/>
    </xf>
    <xf numFmtId="0" fontId="11" fillId="0" borderId="106" xfId="108" applyBorder="1" applyAlignment="1">
      <alignment horizontal="center" vertical="center"/>
    </xf>
    <xf numFmtId="0" fontId="12" fillId="0" borderId="0" xfId="108" applyFont="1" applyAlignment="1">
      <alignment horizontal="center" vertical="center" wrapText="1"/>
    </xf>
    <xf numFmtId="0" fontId="11" fillId="0" borderId="110" xfId="123" applyFont="1" applyBorder="1" applyAlignment="1">
      <alignment horizontal="center" vertical="center"/>
    </xf>
    <xf numFmtId="0" fontId="11" fillId="0" borderId="110" xfId="123" applyFont="1" applyBorder="1" applyAlignment="1" applyProtection="1">
      <alignment horizontal="center" vertical="center" wrapText="1"/>
      <protection locked="0"/>
    </xf>
    <xf numFmtId="0" fontId="11" fillId="0" borderId="110" xfId="123" applyFont="1" applyBorder="1" applyAlignment="1" applyProtection="1">
      <alignment horizontal="center" vertical="center"/>
      <protection locked="0"/>
    </xf>
    <xf numFmtId="0" fontId="11" fillId="0" borderId="106" xfId="123" applyFont="1" applyBorder="1" applyAlignment="1" applyProtection="1">
      <alignment horizontal="center" vertical="center"/>
      <protection locked="0"/>
    </xf>
    <xf numFmtId="0" fontId="11" fillId="0" borderId="48" xfId="108" applyBorder="1" applyAlignment="1">
      <alignment horizontal="center" vertical="center"/>
    </xf>
    <xf numFmtId="0" fontId="12" fillId="0" borderId="0" xfId="108" applyFont="1" applyAlignment="1">
      <alignment horizontal="center" vertical="center"/>
    </xf>
    <xf numFmtId="0" fontId="60" fillId="0" borderId="110" xfId="109" applyFont="1" applyBorder="1" applyAlignment="1">
      <alignment horizontal="center" vertical="center" wrapText="1"/>
    </xf>
    <xf numFmtId="0" fontId="60" fillId="0" borderId="110" xfId="109" applyFont="1" applyBorder="1" applyAlignment="1">
      <alignment horizontal="center" vertical="center"/>
    </xf>
    <xf numFmtId="0" fontId="69" fillId="0" borderId="110" xfId="123" applyFont="1" applyBorder="1" applyAlignment="1">
      <alignment horizontal="center" vertical="center"/>
    </xf>
    <xf numFmtId="0" fontId="81" fillId="0" borderId="0" xfId="109" applyFont="1" applyAlignment="1">
      <alignment horizontal="center" vertical="center"/>
    </xf>
    <xf numFmtId="0" fontId="59" fillId="0" borderId="0" xfId="109" applyFont="1" applyAlignment="1">
      <alignment horizontal="center" vertical="center"/>
    </xf>
    <xf numFmtId="0" fontId="73" fillId="0" borderId="110" xfId="109" applyFont="1" applyBorder="1" applyAlignment="1">
      <alignment horizontal="center" vertical="center"/>
    </xf>
    <xf numFmtId="0" fontId="59" fillId="0" borderId="50" xfId="109" applyFont="1" applyBorder="1" applyAlignment="1">
      <alignment horizontal="center" vertical="center"/>
    </xf>
    <xf numFmtId="0" fontId="60" fillId="0" borderId="48" xfId="109" applyFont="1" applyBorder="1" applyAlignment="1">
      <alignment horizontal="center" vertical="center"/>
    </xf>
    <xf numFmtId="0" fontId="59" fillId="0" borderId="0" xfId="110" applyFont="1" applyAlignment="1">
      <alignment horizontal="center" vertical="center"/>
    </xf>
    <xf numFmtId="0" fontId="60" fillId="0" borderId="18" xfId="110" applyFont="1" applyBorder="1" applyAlignment="1">
      <alignment horizontal="center" vertical="center"/>
    </xf>
    <xf numFmtId="0" fontId="59" fillId="0" borderId="0" xfId="110" applyFont="1" applyAlignment="1">
      <alignment horizontal="center" vertical="center" wrapText="1"/>
    </xf>
    <xf numFmtId="0" fontId="15" fillId="0" borderId="0" xfId="108" applyFont="1" applyAlignment="1">
      <alignment horizontal="center" vertical="center" wrapText="1"/>
    </xf>
    <xf numFmtId="0" fontId="11" fillId="0" borderId="48" xfId="108" applyBorder="1" applyAlignment="1">
      <alignment horizontal="center" vertical="center" wrapText="1"/>
    </xf>
    <xf numFmtId="0" fontId="14" fillId="0" borderId="0" xfId="108" applyFont="1" applyAlignment="1">
      <alignment horizontal="center" vertical="center" wrapText="1"/>
    </xf>
    <xf numFmtId="0" fontId="11" fillId="0" borderId="0" xfId="1111" applyAlignment="1">
      <alignment horizontal="center" vertical="center" wrapText="1"/>
    </xf>
    <xf numFmtId="0" fontId="11" fillId="0" borderId="110" xfId="1111" applyBorder="1" applyAlignment="1">
      <alignment horizontal="center" vertical="center" wrapText="1"/>
    </xf>
    <xf numFmtId="0" fontId="11" fillId="0" borderId="0" xfId="1111" applyAlignment="1" applyProtection="1">
      <alignment horizontal="center" vertical="center" wrapText="1"/>
      <protection locked="0"/>
    </xf>
    <xf numFmtId="0" fontId="81" fillId="0" borderId="0" xfId="86" applyFont="1" applyAlignment="1" applyProtection="1">
      <alignment horizontal="center" vertical="center"/>
    </xf>
    <xf numFmtId="164" fontId="11" fillId="0" borderId="0" xfId="1111" applyNumberFormat="1" applyAlignment="1">
      <alignment horizontal="center" vertical="center" wrapText="1"/>
    </xf>
    <xf numFmtId="0" fontId="11" fillId="0" borderId="101" xfId="108" applyBorder="1" applyAlignment="1">
      <alignment horizontal="center" vertical="center" wrapText="1"/>
    </xf>
    <xf numFmtId="0" fontId="12" fillId="0" borderId="103" xfId="108" applyFont="1" applyBorder="1" applyAlignment="1">
      <alignment horizontal="center" vertical="center"/>
    </xf>
    <xf numFmtId="1" fontId="15" fillId="0" borderId="0" xfId="123" applyNumberFormat="1" applyFont="1" applyAlignment="1">
      <alignment horizontal="center"/>
    </xf>
    <xf numFmtId="1" fontId="15" fillId="28" borderId="90" xfId="0" applyNumberFormat="1" applyFont="1" applyFill="1" applyBorder="1" applyAlignment="1">
      <alignment horizontal="center" vertical="center" wrapText="1"/>
    </xf>
    <xf numFmtId="1" fontId="15" fillId="28" borderId="46" xfId="0" applyNumberFormat="1" applyFont="1" applyFill="1" applyBorder="1" applyAlignment="1">
      <alignment horizontal="center" vertical="center" wrapText="1"/>
    </xf>
    <xf numFmtId="1" fontId="49" fillId="26" borderId="106" xfId="60" applyNumberFormat="1" applyFont="1" applyFill="1" applyBorder="1" applyAlignment="1">
      <alignment horizontal="center" vertical="center"/>
    </xf>
    <xf numFmtId="0" fontId="11" fillId="0" borderId="106" xfId="108" applyBorder="1" applyAlignment="1" applyProtection="1">
      <alignment horizontal="center" vertical="center" wrapText="1"/>
      <protection locked="0"/>
    </xf>
    <xf numFmtId="0" fontId="11" fillId="0" borderId="48" xfId="108" applyBorder="1" applyAlignment="1" applyProtection="1">
      <alignment horizontal="center" vertical="center" wrapText="1"/>
      <protection locked="0"/>
    </xf>
    <xf numFmtId="0" fontId="11" fillId="0" borderId="110" xfId="108" applyBorder="1" applyAlignment="1" applyProtection="1">
      <alignment horizontal="center" vertical="center" wrapText="1"/>
      <protection locked="0"/>
    </xf>
    <xf numFmtId="0" fontId="11" fillId="0" borderId="48" xfId="109" applyFont="1" applyBorder="1" applyAlignment="1" applyProtection="1">
      <alignment horizontal="center" vertical="center"/>
      <protection locked="0"/>
    </xf>
    <xf numFmtId="0" fontId="11" fillId="0" borderId="48" xfId="109" applyFont="1" applyBorder="1" applyAlignment="1" applyProtection="1">
      <alignment horizontal="center" vertical="center" wrapText="1"/>
      <protection locked="0"/>
    </xf>
    <xf numFmtId="0" fontId="98" fillId="0" borderId="114" xfId="123" applyFont="1" applyBorder="1" applyAlignment="1">
      <alignment horizontal="center" vertical="center"/>
    </xf>
    <xf numFmtId="0" fontId="69" fillId="0" borderId="91" xfId="123" applyFont="1" applyBorder="1"/>
    <xf numFmtId="0" fontId="69" fillId="0" borderId="106" xfId="123" applyFont="1" applyBorder="1" applyAlignment="1">
      <alignment horizontal="center" vertical="center"/>
    </xf>
    <xf numFmtId="0" fontId="11" fillId="0" borderId="114" xfId="109" applyFont="1" applyBorder="1" applyAlignment="1" applyProtection="1">
      <alignment horizontal="center" vertical="center" wrapText="1"/>
      <protection locked="0"/>
    </xf>
    <xf numFmtId="0" fontId="51" fillId="0" borderId="114" xfId="109" applyFont="1" applyBorder="1" applyAlignment="1" applyProtection="1">
      <alignment horizontal="center"/>
      <protection locked="0"/>
    </xf>
    <xf numFmtId="0" fontId="60" fillId="0" borderId="33" xfId="109" applyFont="1" applyBorder="1" applyAlignment="1">
      <alignment horizontal="center" vertical="center" wrapText="1"/>
    </xf>
    <xf numFmtId="0" fontId="57" fillId="0" borderId="33" xfId="109" applyBorder="1" applyAlignment="1">
      <alignment horizontal="center"/>
    </xf>
    <xf numFmtId="0" fontId="60" fillId="0" borderId="19" xfId="109" applyFont="1" applyBorder="1" applyAlignment="1">
      <alignment horizontal="center" vertical="center" wrapText="1"/>
    </xf>
    <xf numFmtId="0" fontId="81" fillId="0" borderId="28" xfId="109" applyFont="1" applyBorder="1" applyAlignment="1">
      <alignment horizontal="center" vertical="center" wrapText="1"/>
    </xf>
    <xf numFmtId="0" fontId="11" fillId="0" borderId="33" xfId="109" applyFont="1" applyBorder="1" applyAlignment="1">
      <alignment horizontal="center" vertical="center" wrapText="1"/>
    </xf>
    <xf numFmtId="0" fontId="97" fillId="0" borderId="33" xfId="109" applyFont="1" applyBorder="1" applyAlignment="1">
      <alignment horizontal="center"/>
    </xf>
    <xf numFmtId="0" fontId="11" fillId="0" borderId="28" xfId="109" applyFont="1" applyBorder="1" applyAlignment="1">
      <alignment horizontal="center" vertical="center" wrapText="1"/>
    </xf>
    <xf numFmtId="0" fontId="11" fillId="0" borderId="18" xfId="110" applyFont="1" applyBorder="1" applyAlignment="1" applyProtection="1">
      <alignment horizontal="center" vertical="center"/>
      <protection locked="0"/>
    </xf>
    <xf numFmtId="0" fontId="11" fillId="28" borderId="33" xfId="72" applyFont="1" applyFill="1" applyBorder="1" applyAlignment="1" applyProtection="1">
      <alignment horizontal="center" vertical="center" wrapText="1"/>
      <protection locked="0"/>
    </xf>
    <xf numFmtId="0" fontId="60" fillId="0" borderId="94" xfId="109" applyFont="1" applyBorder="1" applyAlignment="1">
      <alignment horizontal="center" vertical="center"/>
    </xf>
    <xf numFmtId="0" fontId="60" fillId="0" borderId="61" xfId="109" applyFont="1" applyBorder="1" applyAlignment="1">
      <alignment horizontal="center" vertical="center"/>
    </xf>
    <xf numFmtId="0" fontId="11" fillId="0" borderId="124" xfId="108" applyBorder="1" applyAlignment="1" applyProtection="1">
      <alignment horizontal="center" vertical="center" wrapText="1"/>
      <protection locked="0"/>
    </xf>
    <xf numFmtId="0" fontId="11" fillId="0" borderId="106" xfId="1111" applyBorder="1" applyAlignment="1" applyProtection="1">
      <alignment horizontal="center" vertical="center" wrapText="1"/>
      <protection locked="0"/>
    </xf>
    <xf numFmtId="0" fontId="11" fillId="0" borderId="102" xfId="108" applyBorder="1" applyAlignment="1" applyProtection="1">
      <alignment horizontal="center" vertical="center" wrapText="1"/>
      <protection locked="0"/>
    </xf>
    <xf numFmtId="0" fontId="60" fillId="0" borderId="0" xfId="0" applyFont="1" applyAlignment="1">
      <alignment wrapText="1"/>
    </xf>
    <xf numFmtId="0" fontId="11" fillId="0" borderId="58" xfId="108" applyBorder="1" applyAlignment="1" applyProtection="1">
      <alignment horizontal="center" vertical="center" wrapText="1"/>
      <protection locked="0"/>
    </xf>
    <xf numFmtId="0" fontId="11" fillId="0" borderId="59" xfId="108" applyBorder="1" applyAlignment="1" applyProtection="1">
      <alignment horizontal="center" vertical="center" wrapText="1"/>
      <protection locked="0"/>
    </xf>
    <xf numFmtId="0" fontId="11" fillId="0" borderId="114" xfId="108" applyBorder="1" applyAlignment="1" applyProtection="1">
      <alignment horizontal="center" vertical="center" wrapText="1"/>
      <protection locked="0"/>
    </xf>
    <xf numFmtId="0" fontId="11" fillId="0" borderId="94" xfId="108" applyBorder="1" applyAlignment="1" applyProtection="1">
      <alignment horizontal="center" vertical="center" wrapText="1"/>
      <protection locked="0"/>
    </xf>
    <xf numFmtId="0" fontId="60" fillId="0" borderId="106" xfId="0" applyFont="1" applyBorder="1" applyAlignment="1">
      <alignment wrapText="1"/>
    </xf>
    <xf numFmtId="0" fontId="49" fillId="0" borderId="0" xfId="0" applyFont="1" applyAlignment="1">
      <alignment vertical="center" wrapText="1"/>
    </xf>
    <xf numFmtId="0" fontId="12" fillId="0" borderId="110" xfId="0" applyFont="1" applyBorder="1" applyAlignment="1">
      <alignment vertical="center"/>
    </xf>
    <xf numFmtId="0" fontId="11" fillId="0" borderId="22" xfId="0" applyFont="1" applyBorder="1" applyAlignment="1">
      <alignment vertical="center"/>
    </xf>
    <xf numFmtId="0" fontId="11" fillId="0" borderId="48"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48" xfId="0" applyFont="1" applyBorder="1" applyAlignment="1">
      <alignment horizontal="center" vertical="center"/>
    </xf>
    <xf numFmtId="0" fontId="11" fillId="0" borderId="110" xfId="0" applyFont="1" applyBorder="1" applyAlignment="1">
      <alignment horizontal="center" vertical="center"/>
    </xf>
    <xf numFmtId="0" fontId="11" fillId="0" borderId="113" xfId="0" applyFont="1" applyBorder="1" applyAlignment="1">
      <alignment horizontal="center" vertical="center"/>
    </xf>
    <xf numFmtId="0" fontId="12" fillId="0" borderId="48" xfId="0" applyFont="1" applyBorder="1" applyAlignment="1">
      <alignment horizontal="center" vertical="center"/>
    </xf>
    <xf numFmtId="0" fontId="12" fillId="0" borderId="110" xfId="0" applyFont="1" applyBorder="1" applyAlignment="1">
      <alignment horizontal="center" vertical="center"/>
    </xf>
    <xf numFmtId="0" fontId="11" fillId="0" borderId="18" xfId="0" applyFont="1" applyBorder="1" applyAlignment="1">
      <alignment horizontal="center" vertical="center"/>
    </xf>
    <xf numFmtId="0" fontId="11" fillId="0" borderId="59" xfId="0" applyFont="1" applyBorder="1" applyAlignment="1">
      <alignment horizontal="center" vertical="center"/>
    </xf>
    <xf numFmtId="0" fontId="14" fillId="0" borderId="136" xfId="0" applyFont="1" applyBorder="1" applyAlignment="1">
      <alignment horizontal="center" vertical="center"/>
    </xf>
    <xf numFmtId="0" fontId="14" fillId="0" borderId="136" xfId="0" applyFont="1" applyBorder="1" applyAlignment="1">
      <alignment horizontal="center" vertical="center" wrapText="1"/>
    </xf>
    <xf numFmtId="0" fontId="14" fillId="0" borderId="136" xfId="0" applyFont="1" applyBorder="1" applyAlignment="1">
      <alignment vertical="center"/>
    </xf>
    <xf numFmtId="1" fontId="45" fillId="33" borderId="66" xfId="108" applyNumberFormat="1" applyFont="1" applyFill="1" applyBorder="1" applyAlignment="1">
      <alignment horizontal="center" vertical="center"/>
    </xf>
    <xf numFmtId="0" fontId="46" fillId="0" borderId="106" xfId="0" applyFont="1" applyBorder="1" applyAlignment="1">
      <alignment horizontal="center" vertical="center"/>
    </xf>
    <xf numFmtId="0" fontId="11" fillId="0" borderId="22" xfId="0" applyFont="1" applyBorder="1" applyAlignment="1">
      <alignment horizontal="center" vertical="center"/>
    </xf>
    <xf numFmtId="1" fontId="15" fillId="26" borderId="113" xfId="0" applyNumberFormat="1" applyFont="1" applyFill="1" applyBorder="1" applyAlignment="1">
      <alignment horizontal="center" vertical="center" wrapText="1"/>
    </xf>
    <xf numFmtId="0" fontId="11" fillId="0" borderId="59" xfId="0" applyFont="1" applyBorder="1" applyAlignment="1">
      <alignment vertical="center"/>
    </xf>
    <xf numFmtId="0" fontId="11" fillId="0" borderId="0" xfId="108"/>
    <xf numFmtId="0" fontId="11" fillId="29" borderId="21" xfId="72" applyFont="1" applyFill="1" applyBorder="1" applyAlignment="1" applyProtection="1">
      <alignment horizontal="center" vertical="center"/>
      <protection locked="0"/>
    </xf>
    <xf numFmtId="0" fontId="14" fillId="0" borderId="78" xfId="108" applyFont="1" applyBorder="1" applyAlignment="1">
      <alignment vertical="center" wrapText="1"/>
    </xf>
    <xf numFmtId="0" fontId="11" fillId="0" borderId="138" xfId="108" applyBorder="1" applyAlignment="1">
      <alignment vertical="center" wrapText="1"/>
    </xf>
    <xf numFmtId="0" fontId="60" fillId="0" borderId="0" xfId="0" applyFont="1" applyAlignment="1">
      <alignment vertical="center" wrapText="1"/>
    </xf>
    <xf numFmtId="0" fontId="11" fillId="32" borderId="43" xfId="108" applyFill="1" applyBorder="1" applyAlignment="1">
      <alignment horizontal="center" vertical="center" wrapText="1"/>
    </xf>
    <xf numFmtId="0" fontId="11" fillId="32" borderId="55" xfId="108" applyFill="1" applyBorder="1" applyAlignment="1">
      <alignment horizontal="center" vertical="center" wrapText="1"/>
    </xf>
    <xf numFmtId="0" fontId="11" fillId="32" borderId="0" xfId="108" applyFill="1" applyAlignment="1">
      <alignment horizontal="center" vertical="center" wrapText="1"/>
    </xf>
    <xf numFmtId="0" fontId="14" fillId="61" borderId="106" xfId="367" applyFont="1" applyFill="1" applyBorder="1" applyAlignment="1">
      <alignment horizontal="left" vertical="center" wrapText="1"/>
    </xf>
    <xf numFmtId="0" fontId="14" fillId="62" borderId="106" xfId="367" applyFont="1" applyFill="1" applyBorder="1" applyAlignment="1">
      <alignment horizontal="center" vertical="center" wrapText="1"/>
    </xf>
    <xf numFmtId="0" fontId="11" fillId="62" borderId="106" xfId="367" applyFont="1" applyFill="1" applyBorder="1" applyAlignment="1">
      <alignment horizontal="center" vertical="center" wrapText="1"/>
    </xf>
    <xf numFmtId="0" fontId="14" fillId="26" borderId="106" xfId="367" applyFont="1" applyFill="1" applyBorder="1" applyAlignment="1">
      <alignment horizontal="center" vertical="center" wrapText="1"/>
    </xf>
    <xf numFmtId="0" fontId="14" fillId="0" borderId="0" xfId="1111" applyFont="1" applyAlignment="1">
      <alignment horizontal="left" vertical="center" wrapText="1"/>
    </xf>
    <xf numFmtId="0" fontId="14" fillId="28" borderId="66" xfId="1111" applyFont="1" applyFill="1" applyBorder="1" applyAlignment="1">
      <alignment horizontal="center" vertical="center" wrapText="1"/>
    </xf>
    <xf numFmtId="0" fontId="11" fillId="29" borderId="80" xfId="1111" applyFont="1" applyFill="1" applyBorder="1" applyAlignment="1">
      <alignment horizontal="center" vertical="center" wrapText="1"/>
    </xf>
    <xf numFmtId="0" fontId="14" fillId="28" borderId="82" xfId="1111" applyFont="1" applyFill="1" applyBorder="1" applyAlignment="1">
      <alignment horizontal="center" vertical="center" wrapText="1"/>
    </xf>
    <xf numFmtId="0" fontId="11" fillId="29" borderId="90" xfId="1111" applyFont="1" applyFill="1" applyBorder="1" applyAlignment="1">
      <alignment horizontal="center" vertical="center" wrapText="1"/>
    </xf>
    <xf numFmtId="0" fontId="14" fillId="28" borderId="12" xfId="1111" applyFont="1" applyFill="1" applyBorder="1" applyAlignment="1">
      <alignment horizontal="center" vertical="center" wrapText="1"/>
    </xf>
    <xf numFmtId="9" fontId="14" fillId="26" borderId="57" xfId="1111" applyNumberFormat="1" applyFont="1" applyFill="1" applyBorder="1" applyAlignment="1">
      <alignment horizontal="center" vertical="center" wrapText="1"/>
    </xf>
    <xf numFmtId="0" fontId="15" fillId="26" borderId="12" xfId="108" applyFont="1" applyFill="1" applyBorder="1" applyAlignment="1">
      <alignment vertical="center"/>
    </xf>
    <xf numFmtId="1" fontId="15" fillId="26" borderId="34" xfId="108" applyNumberFormat="1" applyFont="1" applyFill="1" applyBorder="1" applyAlignment="1">
      <alignment horizontal="center" vertical="center"/>
    </xf>
    <xf numFmtId="1" fontId="15" fillId="26" borderId="12" xfId="108" applyNumberFormat="1" applyFont="1" applyFill="1" applyBorder="1" applyAlignment="1">
      <alignment horizontal="center" vertical="center"/>
    </xf>
    <xf numFmtId="1" fontId="15" fillId="26" borderId="13" xfId="108" applyNumberFormat="1" applyFont="1" applyFill="1" applyBorder="1" applyAlignment="1">
      <alignment horizontal="center" vertical="center"/>
    </xf>
    <xf numFmtId="0" fontId="11" fillId="0" borderId="0" xfId="108"/>
    <xf numFmtId="0" fontId="11" fillId="0" borderId="94" xfId="108" applyBorder="1" applyAlignment="1">
      <alignment vertical="center" wrapText="1"/>
    </xf>
    <xf numFmtId="0" fontId="14" fillId="63" borderId="114" xfId="108" applyFont="1" applyFill="1" applyBorder="1" applyAlignment="1">
      <alignment vertical="center" wrapText="1"/>
    </xf>
    <xf numFmtId="0" fontId="14" fillId="63" borderId="103" xfId="108" applyFont="1" applyFill="1" applyBorder="1" applyAlignment="1">
      <alignment vertical="center" wrapText="1"/>
    </xf>
    <xf numFmtId="0" fontId="11" fillId="27" borderId="111" xfId="108" applyFill="1" applyBorder="1" applyAlignment="1">
      <alignment vertical="center" wrapText="1"/>
    </xf>
    <xf numFmtId="0" fontId="11" fillId="27" borderId="110" xfId="108" applyFill="1" applyBorder="1" applyAlignment="1">
      <alignment vertical="center" wrapText="1"/>
    </xf>
    <xf numFmtId="0" fontId="11" fillId="27" borderId="123" xfId="108" applyFill="1" applyBorder="1" applyAlignment="1">
      <alignment horizontal="center" vertical="center" wrapText="1"/>
    </xf>
    <xf numFmtId="0" fontId="11" fillId="27" borderId="111" xfId="108" applyFill="1" applyBorder="1" applyAlignment="1">
      <alignment horizontal="center" vertical="center" wrapText="1"/>
    </xf>
    <xf numFmtId="0" fontId="14" fillId="0" borderId="0" xfId="108" applyFont="1" applyAlignment="1">
      <alignment vertical="center"/>
    </xf>
    <xf numFmtId="0" fontId="14" fillId="64" borderId="12" xfId="108" applyFont="1" applyFill="1" applyBorder="1" applyAlignment="1">
      <alignment horizontal="center" vertical="center"/>
    </xf>
    <xf numFmtId="0" fontId="11" fillId="28" borderId="61" xfId="108" applyFill="1" applyBorder="1" applyAlignment="1">
      <alignment horizontal="center" vertical="center"/>
    </xf>
    <xf numFmtId="0" fontId="11" fillId="29" borderId="33" xfId="108" applyFill="1" applyBorder="1" applyAlignment="1" applyProtection="1">
      <alignment horizontal="center" vertical="center"/>
      <protection locked="0"/>
    </xf>
    <xf numFmtId="0" fontId="11" fillId="28" borderId="33" xfId="108" applyFill="1" applyBorder="1" applyAlignment="1">
      <alignment horizontal="center" vertical="center"/>
    </xf>
    <xf numFmtId="0" fontId="14" fillId="28" borderId="28" xfId="108" applyFont="1" applyFill="1" applyBorder="1" applyAlignment="1">
      <alignment horizontal="center" vertical="center"/>
    </xf>
    <xf numFmtId="10" fontId="14" fillId="26" borderId="12" xfId="108" applyNumberFormat="1" applyFont="1" applyFill="1" applyBorder="1" applyAlignment="1">
      <alignment horizontal="center" vertical="center"/>
    </xf>
    <xf numFmtId="0" fontId="11" fillId="58" borderId="33" xfId="72" applyFont="1" applyFill="1" applyBorder="1" applyAlignment="1" applyProtection="1">
      <alignment horizontal="center" vertical="center" wrapText="1"/>
      <protection locked="0"/>
    </xf>
    <xf numFmtId="0" fontId="11" fillId="27" borderId="106" xfId="108" applyFill="1" applyBorder="1" applyAlignment="1">
      <alignment vertical="center" wrapText="1"/>
    </xf>
    <xf numFmtId="0" fontId="11" fillId="27" borderId="100" xfId="108" applyFill="1" applyBorder="1" applyAlignment="1">
      <alignment horizontal="center" vertical="center" wrapText="1"/>
    </xf>
    <xf numFmtId="0" fontId="15" fillId="0" borderId="100" xfId="1109" applyFont="1" applyFill="1" applyBorder="1" applyAlignment="1">
      <alignment horizontal="center" vertical="center"/>
    </xf>
    <xf numFmtId="1" fontId="15" fillId="0" borderId="106" xfId="1110" applyNumberFormat="1" applyFont="1" applyFill="1" applyBorder="1" applyAlignment="1">
      <alignment horizontal="center" vertical="center"/>
    </xf>
    <xf numFmtId="0" fontId="11" fillId="0" borderId="58" xfId="0" applyFont="1" applyBorder="1" applyAlignment="1" applyProtection="1">
      <alignment vertical="center" wrapText="1"/>
      <protection locked="0"/>
    </xf>
    <xf numFmtId="0" fontId="11" fillId="0" borderId="59" xfId="0" applyFont="1" applyBorder="1" applyAlignment="1" applyProtection="1">
      <alignment vertical="center" wrapText="1"/>
      <protection locked="0"/>
    </xf>
    <xf numFmtId="0" fontId="45" fillId="33" borderId="12" xfId="0" applyFont="1" applyFill="1" applyBorder="1" applyAlignment="1">
      <alignment horizontal="left" vertical="center" wrapText="1"/>
    </xf>
    <xf numFmtId="0" fontId="45" fillId="39" borderId="12" xfId="0" applyFont="1" applyFill="1" applyBorder="1" applyAlignment="1">
      <alignment horizontal="left" vertical="center" wrapText="1"/>
    </xf>
    <xf numFmtId="0" fontId="75" fillId="0" borderId="0" xfId="0" applyFont="1" applyAlignment="1">
      <alignment horizontal="left" wrapText="1"/>
    </xf>
    <xf numFmtId="0" fontId="51" fillId="0" borderId="123" xfId="0" applyFont="1" applyBorder="1" applyAlignment="1">
      <alignment horizontal="left" wrapText="1"/>
    </xf>
    <xf numFmtId="0" fontId="51" fillId="0" borderId="124" xfId="0" applyFont="1" applyBorder="1" applyAlignment="1">
      <alignment horizontal="left"/>
    </xf>
    <xf numFmtId="0" fontId="51" fillId="0" borderId="55" xfId="0" applyFont="1" applyBorder="1" applyAlignment="1">
      <alignment horizontal="left"/>
    </xf>
    <xf numFmtId="0" fontId="51" fillId="0" borderId="58" xfId="0" applyFont="1" applyBorder="1" applyAlignment="1">
      <alignment horizontal="left"/>
    </xf>
    <xf numFmtId="0" fontId="51" fillId="0" borderId="129" xfId="0" applyFont="1" applyBorder="1" applyAlignment="1">
      <alignment horizontal="left"/>
    </xf>
    <xf numFmtId="0" fontId="51" fillId="0" borderId="59" xfId="0" applyFont="1" applyBorder="1" applyAlignment="1">
      <alignment horizontal="left"/>
    </xf>
    <xf numFmtId="0" fontId="14" fillId="0" borderId="0" xfId="0" applyFont="1" applyAlignment="1">
      <alignment horizontal="center" textRotation="90" wrapText="1"/>
    </xf>
    <xf numFmtId="0" fontId="21" fillId="0" borderId="0" xfId="0" applyFont="1" applyAlignment="1">
      <alignment horizontal="right" vertical="top"/>
    </xf>
    <xf numFmtId="0" fontId="20" fillId="0" borderId="0" xfId="0" applyFont="1" applyAlignment="1">
      <alignment horizontal="right" vertical="top"/>
    </xf>
    <xf numFmtId="0" fontId="0" fillId="0" borderId="0" xfId="0"/>
    <xf numFmtId="0" fontId="14" fillId="0" borderId="0" xfId="0" applyFont="1" applyAlignment="1">
      <alignment horizontal="left" vertical="center" wrapText="1"/>
    </xf>
    <xf numFmtId="0" fontId="11" fillId="0" borderId="0" xfId="0" applyFont="1" applyAlignment="1">
      <alignment horizontal="left" vertical="center"/>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0" xfId="0" applyFont="1" applyAlignment="1">
      <alignment horizontal="center" vertical="center" wrapText="1"/>
    </xf>
    <xf numFmtId="0" fontId="14" fillId="0" borderId="73"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5" xfId="0" applyFont="1" applyBorder="1" applyAlignment="1">
      <alignment horizontal="center" vertical="center" wrapText="1"/>
    </xf>
    <xf numFmtId="1" fontId="21" fillId="0" borderId="42" xfId="0" applyNumberFormat="1" applyFont="1" applyBorder="1" applyAlignment="1">
      <alignment horizontal="center" vertical="center"/>
    </xf>
    <xf numFmtId="1" fontId="21" fillId="0" borderId="57" xfId="0" applyNumberFormat="1" applyFont="1" applyBorder="1" applyAlignment="1">
      <alignment horizontal="center" vertical="center"/>
    </xf>
    <xf numFmtId="165" fontId="45" fillId="0" borderId="42" xfId="0" applyNumberFormat="1" applyFont="1" applyBorder="1" applyAlignment="1" applyProtection="1">
      <alignment horizontal="center" vertical="center"/>
      <protection locked="0"/>
    </xf>
    <xf numFmtId="165" fontId="45" fillId="0" borderId="49" xfId="0" applyNumberFormat="1" applyFont="1" applyBorder="1" applyAlignment="1" applyProtection="1">
      <alignment horizontal="center" vertical="center"/>
      <protection locked="0"/>
    </xf>
    <xf numFmtId="165" fontId="45" fillId="0" borderId="57" xfId="0" applyNumberFormat="1" applyFont="1" applyBorder="1" applyAlignment="1" applyProtection="1">
      <alignment horizontal="center" vertical="center"/>
      <protection locked="0"/>
    </xf>
    <xf numFmtId="0" fontId="49" fillId="0" borderId="86" xfId="0" applyFont="1" applyBorder="1" applyAlignment="1">
      <alignment horizontal="center" vertical="center" wrapText="1"/>
    </xf>
    <xf numFmtId="0" fontId="49" fillId="0" borderId="77" xfId="0" applyFont="1" applyBorder="1" applyAlignment="1">
      <alignment horizontal="center" vertical="center" wrapText="1"/>
    </xf>
    <xf numFmtId="0" fontId="49" fillId="0" borderId="92" xfId="0" applyFont="1" applyBorder="1" applyAlignment="1">
      <alignment horizontal="center" vertical="center" wrapText="1"/>
    </xf>
    <xf numFmtId="0" fontId="15" fillId="0" borderId="0" xfId="108" applyFont="1" applyAlignment="1">
      <alignment horizontal="left" vertical="center"/>
    </xf>
    <xf numFmtId="0" fontId="11" fillId="29" borderId="105" xfId="108"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1" fillId="0" borderId="101" xfId="108" applyBorder="1" applyAlignment="1" applyProtection="1">
      <alignment horizontal="center" vertical="center"/>
      <protection locked="0"/>
    </xf>
    <xf numFmtId="0" fontId="11" fillId="0" borderId="94" xfId="0" applyFont="1" applyBorder="1" applyAlignment="1" applyProtection="1">
      <alignment horizontal="center" vertical="center"/>
      <protection locked="0"/>
    </xf>
    <xf numFmtId="0" fontId="60" fillId="0" borderId="106" xfId="0" applyFont="1" applyBorder="1" applyAlignment="1">
      <alignment horizontal="left" vertical="center" wrapText="1"/>
    </xf>
    <xf numFmtId="0" fontId="0" fillId="0" borderId="106" xfId="0" applyBorder="1" applyAlignment="1">
      <alignment horizontal="left" vertical="center"/>
    </xf>
    <xf numFmtId="0" fontId="14" fillId="27" borderId="17" xfId="108" applyFont="1" applyFill="1" applyBorder="1" applyAlignment="1">
      <alignment horizontal="center" vertical="center" wrapText="1"/>
    </xf>
    <xf numFmtId="0" fontId="14" fillId="27" borderId="62" xfId="108" applyFont="1" applyFill="1" applyBorder="1" applyAlignment="1">
      <alignment horizontal="center" vertical="center" wrapText="1"/>
    </xf>
    <xf numFmtId="0" fontId="11" fillId="0" borderId="130" xfId="108" applyBorder="1" applyAlignment="1">
      <alignment horizontal="center" vertical="center" wrapText="1"/>
    </xf>
    <xf numFmtId="0" fontId="11" fillId="0" borderId="131" xfId="108" applyBorder="1" applyAlignment="1">
      <alignment horizontal="center" vertical="center" wrapText="1"/>
    </xf>
    <xf numFmtId="0" fontId="11" fillId="0" borderId="117" xfId="108" applyBorder="1" applyAlignment="1">
      <alignment horizontal="center" vertical="center" wrapText="1"/>
    </xf>
    <xf numFmtId="0" fontId="11" fillId="0" borderId="118" xfId="108" applyBorder="1" applyAlignment="1">
      <alignment horizontal="center" vertical="center" wrapText="1"/>
    </xf>
    <xf numFmtId="0" fontId="14" fillId="63" borderId="111" xfId="108" applyFont="1" applyFill="1" applyBorder="1" applyAlignment="1">
      <alignment horizontal="center" vertical="center" wrapText="1"/>
    </xf>
    <xf numFmtId="0" fontId="14" fillId="63" borderId="112" xfId="108" applyFont="1" applyFill="1" applyBorder="1" applyAlignment="1">
      <alignment horizontal="center" vertical="center" wrapText="1"/>
    </xf>
    <xf numFmtId="0" fontId="11" fillId="0" borderId="123" xfId="108" applyBorder="1" applyAlignment="1">
      <alignment horizontal="center" vertical="center" wrapText="1"/>
    </xf>
    <xf numFmtId="0" fontId="11" fillId="0" borderId="55" xfId="108" applyBorder="1" applyAlignment="1">
      <alignment horizontal="center" vertical="center" wrapText="1"/>
    </xf>
    <xf numFmtId="0" fontId="11" fillId="0" borderId="15" xfId="108" applyBorder="1" applyAlignment="1">
      <alignment horizontal="center" vertical="center" wrapText="1"/>
    </xf>
    <xf numFmtId="0" fontId="11" fillId="0" borderId="129" xfId="108" applyBorder="1" applyAlignment="1">
      <alignment horizontal="center" vertical="center" wrapText="1"/>
    </xf>
    <xf numFmtId="0" fontId="11" fillId="29" borderId="105" xfId="72" applyFont="1" applyFill="1" applyBorder="1" applyAlignment="1" applyProtection="1">
      <alignment horizontal="center" vertical="center"/>
      <protection locked="0"/>
    </xf>
    <xf numFmtId="0" fontId="11" fillId="29" borderId="21" xfId="72" applyFont="1" applyFill="1" applyBorder="1" applyAlignment="1" applyProtection="1">
      <alignment horizontal="center" vertical="center"/>
      <protection locked="0"/>
    </xf>
    <xf numFmtId="0" fontId="11" fillId="29" borderId="19" xfId="72" applyFont="1" applyFill="1" applyBorder="1" applyAlignment="1" applyProtection="1">
      <alignment horizontal="center" vertical="center"/>
      <protection locked="0"/>
    </xf>
    <xf numFmtId="0" fontId="11" fillId="0" borderId="101" xfId="108" applyBorder="1" applyAlignment="1" applyProtection="1">
      <alignment horizontal="center" vertical="center" wrapText="1"/>
      <protection locked="0"/>
    </xf>
    <xf numFmtId="0" fontId="11" fillId="0" borderId="78" xfId="108" applyBorder="1" applyAlignment="1" applyProtection="1">
      <alignment horizontal="center" vertical="center" wrapText="1"/>
      <protection locked="0"/>
    </xf>
    <xf numFmtId="0" fontId="11" fillId="0" borderId="94" xfId="108" applyBorder="1" applyAlignment="1" applyProtection="1">
      <alignment horizontal="center" vertical="center" wrapText="1"/>
      <protection locked="0"/>
    </xf>
    <xf numFmtId="0" fontId="11" fillId="0" borderId="101" xfId="0" applyFont="1" applyBorder="1" applyAlignment="1" applyProtection="1">
      <alignment horizontal="center" vertical="center" wrapText="1"/>
      <protection locked="0"/>
    </xf>
    <xf numFmtId="0" fontId="11" fillId="0" borderId="94" xfId="0" applyFont="1" applyBorder="1" applyAlignment="1" applyProtection="1">
      <alignment horizontal="center" vertical="center" wrapText="1"/>
      <protection locked="0"/>
    </xf>
    <xf numFmtId="0" fontId="11" fillId="0" borderId="78" xfId="0" applyFont="1" applyBorder="1" applyAlignment="1" applyProtection="1">
      <alignment horizontal="center" vertical="center" wrapText="1"/>
      <protection locked="0"/>
    </xf>
    <xf numFmtId="0" fontId="14" fillId="63" borderId="115" xfId="108" applyFont="1" applyFill="1" applyBorder="1" applyAlignment="1">
      <alignment horizontal="left" vertical="center" wrapText="1"/>
    </xf>
    <xf numFmtId="0" fontId="14" fillId="63" borderId="113" xfId="108" applyFont="1" applyFill="1" applyBorder="1" applyAlignment="1">
      <alignment horizontal="left" vertical="center" wrapText="1"/>
    </xf>
    <xf numFmtId="0" fontId="14" fillId="63" borderId="112" xfId="108" applyFont="1" applyFill="1" applyBorder="1" applyAlignment="1">
      <alignment horizontal="left" vertical="center" wrapText="1"/>
    </xf>
    <xf numFmtId="0" fontId="0" fillId="29" borderId="105" xfId="0" applyFill="1" applyBorder="1" applyAlignment="1" applyProtection="1">
      <alignment horizontal="center" vertical="center"/>
      <protection locked="0"/>
    </xf>
    <xf numFmtId="0" fontId="0" fillId="29" borderId="19" xfId="0" applyFill="1" applyBorder="1" applyAlignment="1" applyProtection="1">
      <alignment horizontal="center" vertical="center"/>
      <protection locked="0"/>
    </xf>
    <xf numFmtId="0" fontId="14" fillId="63" borderId="129" xfId="108" applyFont="1" applyFill="1" applyBorder="1" applyAlignment="1">
      <alignment horizontal="center" vertical="center" wrapText="1"/>
    </xf>
    <xf numFmtId="0" fontId="14" fillId="63" borderId="118" xfId="108" applyFont="1" applyFill="1" applyBorder="1" applyAlignment="1">
      <alignment horizontal="center" vertical="center" wrapText="1"/>
    </xf>
    <xf numFmtId="0" fontId="11" fillId="0" borderId="111" xfId="108" applyBorder="1" applyAlignment="1">
      <alignment horizontal="center" vertical="center" wrapText="1"/>
    </xf>
    <xf numFmtId="0" fontId="11" fillId="0" borderId="112" xfId="108" applyBorder="1" applyAlignment="1">
      <alignment horizontal="center" vertical="center" wrapText="1"/>
    </xf>
    <xf numFmtId="0" fontId="11" fillId="29" borderId="105" xfId="72" applyFont="1" applyFill="1" applyBorder="1" applyAlignment="1" applyProtection="1">
      <alignment horizontal="center" vertical="center"/>
    </xf>
    <xf numFmtId="0" fontId="11" fillId="29" borderId="21" xfId="72" applyFont="1" applyFill="1" applyBorder="1" applyAlignment="1" applyProtection="1">
      <alignment horizontal="center" vertical="center"/>
    </xf>
    <xf numFmtId="0" fontId="11" fillId="0" borderId="125" xfId="108" applyBorder="1" applyAlignment="1">
      <alignment horizontal="center" vertical="center" wrapText="1"/>
    </xf>
    <xf numFmtId="0" fontId="11" fillId="0" borderId="44" xfId="108" applyBorder="1" applyAlignment="1">
      <alignment horizontal="center" vertical="center" wrapText="1"/>
    </xf>
    <xf numFmtId="0" fontId="0" fillId="29" borderId="21" xfId="0" applyFill="1" applyBorder="1" applyAlignment="1" applyProtection="1">
      <alignment horizontal="center" vertical="center"/>
      <protection locked="0"/>
    </xf>
    <xf numFmtId="0" fontId="11" fillId="0" borderId="55" xfId="108" applyBorder="1" applyAlignment="1">
      <alignment horizontal="center" vertical="center"/>
    </xf>
    <xf numFmtId="0" fontId="11" fillId="0" borderId="15" xfId="108" applyBorder="1" applyAlignment="1">
      <alignment horizontal="center" vertical="center"/>
    </xf>
    <xf numFmtId="0" fontId="11" fillId="0" borderId="55" xfId="108" applyBorder="1" applyAlignment="1" applyProtection="1">
      <alignment horizontal="center" vertical="center" wrapText="1"/>
      <protection locked="0"/>
    </xf>
    <xf numFmtId="0" fontId="11" fillId="0" borderId="0" xfId="108" applyAlignment="1" applyProtection="1">
      <alignment horizontal="center" vertical="center" wrapText="1"/>
      <protection locked="0"/>
    </xf>
    <xf numFmtId="0" fontId="11" fillId="29" borderId="105" xfId="0" applyFont="1" applyFill="1" applyBorder="1" applyAlignment="1" applyProtection="1">
      <alignment horizontal="center" vertical="center"/>
      <protection locked="0"/>
    </xf>
    <xf numFmtId="0" fontId="11" fillId="29" borderId="19" xfId="0" applyFont="1" applyFill="1" applyBorder="1" applyAlignment="1" applyProtection="1">
      <alignment horizontal="center" vertical="center"/>
      <protection locked="0"/>
    </xf>
    <xf numFmtId="0" fontId="11" fillId="0" borderId="125" xfId="108" applyBorder="1" applyAlignment="1" applyProtection="1">
      <alignment horizontal="center" vertical="center" wrapText="1"/>
      <protection locked="0"/>
    </xf>
    <xf numFmtId="0" fontId="11" fillId="0" borderId="44" xfId="108" applyBorder="1" applyAlignment="1" applyProtection="1">
      <alignment horizontal="center" vertical="center" wrapText="1"/>
      <protection locked="0"/>
    </xf>
    <xf numFmtId="0" fontId="11" fillId="29" borderId="21" xfId="0" applyFont="1" applyFill="1" applyBorder="1" applyAlignment="1" applyProtection="1">
      <alignment horizontal="center" vertical="center"/>
      <protection locked="0"/>
    </xf>
    <xf numFmtId="0" fontId="27" fillId="26" borderId="82" xfId="108" applyFont="1" applyFill="1" applyBorder="1" applyAlignment="1">
      <alignment vertical="center" wrapText="1"/>
    </xf>
    <xf numFmtId="0" fontId="27" fillId="26" borderId="109" xfId="108" applyFont="1" applyFill="1" applyBorder="1" applyAlignment="1">
      <alignment vertical="center" wrapText="1"/>
    </xf>
    <xf numFmtId="0" fontId="11" fillId="0" borderId="106" xfId="108" applyBorder="1" applyAlignment="1" applyProtection="1">
      <alignment horizontal="center" vertical="center" wrapText="1"/>
      <protection locked="0"/>
    </xf>
    <xf numFmtId="0" fontId="14" fillId="0" borderId="29" xfId="108" applyFont="1" applyBorder="1" applyAlignment="1">
      <alignment horizontal="left" vertical="center" wrapText="1"/>
    </xf>
    <xf numFmtId="0" fontId="14" fillId="0" borderId="78" xfId="108" applyFont="1" applyBorder="1" applyAlignment="1">
      <alignment horizontal="left" vertical="center" wrapText="1"/>
    </xf>
    <xf numFmtId="0" fontId="14" fillId="0" borderId="52" xfId="108" applyFont="1" applyBorder="1" applyAlignment="1">
      <alignment horizontal="left" vertical="center" wrapText="1"/>
    </xf>
    <xf numFmtId="0" fontId="11" fillId="0" borderId="58" xfId="108" applyBorder="1" applyAlignment="1">
      <alignment vertical="center" wrapText="1"/>
    </xf>
    <xf numFmtId="0" fontId="11" fillId="0" borderId="58" xfId="0" applyFont="1" applyBorder="1" applyAlignment="1">
      <alignment vertical="center" wrapText="1"/>
    </xf>
    <xf numFmtId="0" fontId="11" fillId="0" borderId="59" xfId="0" applyFont="1" applyBorder="1" applyAlignment="1">
      <alignment vertical="center" wrapText="1"/>
    </xf>
    <xf numFmtId="0" fontId="11" fillId="27" borderId="111" xfId="108" applyFill="1" applyBorder="1" applyAlignment="1">
      <alignment vertical="center" wrapText="1"/>
    </xf>
    <xf numFmtId="0" fontId="11" fillId="27" borderId="113" xfId="0" applyFont="1" applyFill="1" applyBorder="1" applyAlignment="1">
      <alignment vertical="center" wrapText="1"/>
    </xf>
    <xf numFmtId="0" fontId="11" fillId="0" borderId="43" xfId="108" applyBorder="1" applyAlignment="1" applyProtection="1">
      <alignment horizontal="center" vertical="center" wrapText="1"/>
      <protection locked="0"/>
    </xf>
    <xf numFmtId="0" fontId="14" fillId="0" borderId="101" xfId="108" applyFont="1" applyBorder="1" applyAlignment="1">
      <alignment horizontal="left" vertical="center" wrapText="1"/>
    </xf>
    <xf numFmtId="0" fontId="14" fillId="0" borderId="94" xfId="108" applyFont="1" applyBorder="1" applyAlignment="1">
      <alignment horizontal="left" vertical="center" wrapText="1"/>
    </xf>
    <xf numFmtId="0" fontId="0" fillId="0" borderId="78" xfId="0" applyBorder="1" applyAlignment="1">
      <alignment horizontal="left" vertical="center" wrapText="1"/>
    </xf>
    <xf numFmtId="0" fontId="0" fillId="0" borderId="94" xfId="0" applyBorder="1" applyAlignment="1">
      <alignment horizontal="left" vertical="center" wrapText="1"/>
    </xf>
    <xf numFmtId="0" fontId="11" fillId="0" borderId="125" xfId="108"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1" fillId="0" borderId="74" xfId="108" applyBorder="1" applyAlignment="1">
      <alignment vertical="center" wrapText="1"/>
    </xf>
    <xf numFmtId="0" fontId="11" fillId="0" borderId="125" xfId="108" applyBorder="1" applyAlignment="1">
      <alignment horizontal="left" vertical="center" wrapText="1"/>
    </xf>
    <xf numFmtId="0" fontId="11" fillId="0" borderId="136" xfId="108" applyBorder="1" applyAlignment="1">
      <alignment horizontal="left" vertical="center" wrapText="1"/>
    </xf>
    <xf numFmtId="2" fontId="14" fillId="0" borderId="101" xfId="108" applyNumberFormat="1" applyFont="1" applyBorder="1" applyAlignment="1">
      <alignment horizontal="left" vertical="center" wrapText="1"/>
    </xf>
    <xf numFmtId="2" fontId="14" fillId="0" borderId="78" xfId="108" applyNumberFormat="1" applyFont="1" applyBorder="1" applyAlignment="1">
      <alignment horizontal="left" vertical="center" wrapText="1"/>
    </xf>
    <xf numFmtId="2" fontId="14" fillId="0" borderId="94" xfId="108" applyNumberFormat="1" applyFont="1" applyBorder="1" applyAlignment="1">
      <alignment horizontal="left" vertical="center" wrapText="1"/>
    </xf>
    <xf numFmtId="0" fontId="14" fillId="27" borderId="66" xfId="108" applyFont="1" applyFill="1" applyBorder="1" applyAlignment="1">
      <alignment horizontal="left" vertical="center" wrapText="1"/>
    </xf>
    <xf numFmtId="0" fontId="14" fillId="27" borderId="67" xfId="108" applyFont="1" applyFill="1" applyBorder="1" applyAlignment="1">
      <alignment horizontal="left" vertical="center" wrapText="1"/>
    </xf>
    <xf numFmtId="0" fontId="14" fillId="27" borderId="62" xfId="108" applyFont="1" applyFill="1" applyBorder="1" applyAlignment="1">
      <alignment horizontal="left" vertical="center" wrapText="1"/>
    </xf>
    <xf numFmtId="2" fontId="14" fillId="0" borderId="36" xfId="108" applyNumberFormat="1" applyFont="1" applyBorder="1" applyAlignment="1">
      <alignment horizontal="left" vertical="center" wrapText="1"/>
    </xf>
    <xf numFmtId="0" fontId="11" fillId="26" borderId="0" xfId="108" applyFill="1" applyAlignment="1">
      <alignment horizontal="center" vertical="center"/>
    </xf>
    <xf numFmtId="0" fontId="11" fillId="0" borderId="124" xfId="108" applyBorder="1" applyAlignment="1">
      <alignment vertical="center" wrapText="1"/>
    </xf>
    <xf numFmtId="0" fontId="11" fillId="0" borderId="44" xfId="0" applyFont="1" applyBorder="1" applyAlignment="1">
      <alignment vertical="center" wrapText="1"/>
    </xf>
    <xf numFmtId="0" fontId="11" fillId="0" borderId="43" xfId="108" applyBorder="1" applyAlignment="1">
      <alignment vertical="center" wrapText="1"/>
    </xf>
    <xf numFmtId="0" fontId="11" fillId="0" borderId="44" xfId="108" applyBorder="1" applyAlignment="1">
      <alignment vertical="center" wrapText="1"/>
    </xf>
    <xf numFmtId="0" fontId="15" fillId="26" borderId="114" xfId="0" applyFont="1" applyFill="1" applyBorder="1" applyAlignment="1">
      <alignment horizontal="left" vertical="center"/>
    </xf>
    <xf numFmtId="0" fontId="15" fillId="26" borderId="106" xfId="0" applyFont="1" applyFill="1" applyBorder="1" applyAlignment="1">
      <alignment horizontal="left" vertical="center"/>
    </xf>
    <xf numFmtId="0" fontId="15" fillId="26" borderId="82" xfId="0" applyFont="1" applyFill="1" applyBorder="1" applyAlignment="1">
      <alignment horizontal="left" vertical="center"/>
    </xf>
    <xf numFmtId="0" fontId="15" fillId="26" borderId="109" xfId="0" applyFont="1" applyFill="1" applyBorder="1" applyAlignment="1">
      <alignment horizontal="left" vertical="center"/>
    </xf>
    <xf numFmtId="0" fontId="15" fillId="26" borderId="83" xfId="0" applyFont="1" applyFill="1" applyBorder="1" applyAlignment="1">
      <alignment horizontal="left" vertical="center"/>
    </xf>
    <xf numFmtId="0" fontId="14" fillId="29" borderId="111" xfId="0" applyFont="1" applyFill="1" applyBorder="1" applyAlignment="1" applyProtection="1">
      <alignment horizontal="center" vertical="center"/>
      <protection locked="0"/>
    </xf>
    <xf numFmtId="0" fontId="14" fillId="29" borderId="113" xfId="0" applyFont="1" applyFill="1" applyBorder="1" applyAlignment="1" applyProtection="1">
      <alignment horizontal="center" vertical="center"/>
      <protection locked="0"/>
    </xf>
    <xf numFmtId="0" fontId="14" fillId="29" borderId="110" xfId="0" applyFont="1" applyFill="1" applyBorder="1" applyAlignment="1" applyProtection="1">
      <alignment horizontal="center" vertical="center"/>
      <protection locked="0"/>
    </xf>
    <xf numFmtId="0" fontId="11" fillId="0" borderId="115" xfId="0" applyFont="1" applyBorder="1" applyAlignment="1">
      <alignment horizontal="left" vertical="center"/>
    </xf>
    <xf numFmtId="0" fontId="11" fillId="0" borderId="113" xfId="0" applyFont="1" applyBorder="1" applyAlignment="1">
      <alignment horizontal="left" vertical="center"/>
    </xf>
    <xf numFmtId="0" fontId="11" fillId="0" borderId="110" xfId="0" applyFont="1" applyBorder="1" applyAlignment="1">
      <alignment horizontal="left" vertical="center"/>
    </xf>
    <xf numFmtId="0" fontId="51" fillId="27" borderId="111" xfId="0" applyFont="1" applyFill="1" applyBorder="1" applyAlignment="1">
      <alignment horizontal="center" vertical="center" wrapText="1"/>
    </xf>
    <xf numFmtId="0" fontId="51" fillId="27" borderId="110" xfId="0" applyFont="1" applyFill="1" applyBorder="1" applyAlignment="1">
      <alignment horizontal="center" vertical="center"/>
    </xf>
    <xf numFmtId="169" fontId="51" fillId="26" borderId="111" xfId="123" applyNumberFormat="1" applyFont="1" applyFill="1" applyBorder="1" applyAlignment="1">
      <alignment horizontal="center" vertical="center"/>
    </xf>
    <xf numFmtId="169" fontId="51" fillId="26" borderId="110" xfId="123" applyNumberFormat="1" applyFont="1" applyFill="1" applyBorder="1" applyAlignment="1">
      <alignment horizontal="center" vertical="center"/>
    </xf>
    <xf numFmtId="169" fontId="51" fillId="26" borderId="106" xfId="123" applyNumberFormat="1" applyFont="1" applyFill="1" applyBorder="1" applyAlignment="1">
      <alignment horizontal="center" vertical="center"/>
    </xf>
    <xf numFmtId="0" fontId="51" fillId="0" borderId="115" xfId="123" applyFont="1" applyBorder="1" applyAlignment="1">
      <alignment horizontal="left" vertical="center"/>
    </xf>
    <xf numFmtId="0" fontId="51" fillId="0" borderId="110" xfId="123" applyFont="1" applyBorder="1" applyAlignment="1">
      <alignment horizontal="left" vertical="center"/>
    </xf>
    <xf numFmtId="0" fontId="51" fillId="0" borderId="103" xfId="123" applyFont="1" applyBorder="1" applyAlignment="1">
      <alignment horizontal="left" vertical="center"/>
    </xf>
    <xf numFmtId="0" fontId="51" fillId="0" borderId="124" xfId="123" applyFont="1" applyBorder="1" applyAlignment="1">
      <alignment horizontal="left" vertical="center"/>
    </xf>
    <xf numFmtId="0" fontId="60" fillId="0" borderId="130" xfId="123" applyFont="1" applyBorder="1" applyAlignment="1">
      <alignment horizontal="left" vertical="center"/>
    </xf>
    <xf numFmtId="0" fontId="60" fillId="0" borderId="131" xfId="123" applyFont="1" applyBorder="1" applyAlignment="1">
      <alignment horizontal="left" vertical="center"/>
    </xf>
    <xf numFmtId="1" fontId="15" fillId="0" borderId="126" xfId="123" applyNumberFormat="1" applyFont="1" applyBorder="1" applyAlignment="1">
      <alignment horizontal="center"/>
    </xf>
    <xf numFmtId="1" fontId="15" fillId="0" borderId="0" xfId="123" applyNumberFormat="1" applyFont="1" applyAlignment="1">
      <alignment horizontal="center"/>
    </xf>
    <xf numFmtId="0" fontId="49" fillId="0" borderId="0" xfId="123" applyFont="1" applyAlignment="1">
      <alignment horizontal="center" textRotation="90"/>
    </xf>
    <xf numFmtId="0" fontId="11" fillId="0" borderId="0" xfId="0" applyFont="1"/>
    <xf numFmtId="0" fontId="22" fillId="0" borderId="0" xfId="108" applyFont="1" applyAlignment="1">
      <alignment horizontal="left" vertical="top" wrapText="1"/>
    </xf>
    <xf numFmtId="0" fontId="11" fillId="0" borderId="0" xfId="1111" applyFont="1" applyAlignment="1">
      <alignment wrapText="1"/>
    </xf>
    <xf numFmtId="0" fontId="11" fillId="0" borderId="0" xfId="108"/>
    <xf numFmtId="0" fontId="11" fillId="0" borderId="0" xfId="108" applyAlignment="1">
      <alignment horizontal="center" vertical="center" wrapText="1"/>
    </xf>
    <xf numFmtId="0" fontId="53" fillId="0" borderId="0" xfId="108" applyFont="1" applyAlignment="1">
      <alignment horizontal="left" vertical="center"/>
    </xf>
    <xf numFmtId="0" fontId="14" fillId="0" borderId="106" xfId="367" applyFont="1" applyBorder="1" applyAlignment="1">
      <alignment vertical="center" wrapText="1"/>
    </xf>
    <xf numFmtId="0" fontId="11" fillId="29" borderId="105" xfId="108" applyFill="1" applyBorder="1" applyAlignment="1" applyProtection="1">
      <alignment horizontal="center" vertical="center" wrapText="1"/>
      <protection locked="0"/>
    </xf>
    <xf numFmtId="0" fontId="11" fillId="29" borderId="21" xfId="108" applyFill="1" applyBorder="1" applyAlignment="1" applyProtection="1">
      <alignment horizontal="center" vertical="center" wrapText="1"/>
      <protection locked="0"/>
    </xf>
    <xf numFmtId="0" fontId="11" fillId="29" borderId="19" xfId="108" applyFill="1" applyBorder="1" applyAlignment="1" applyProtection="1">
      <alignment horizontal="center" vertical="center" wrapText="1"/>
      <protection locked="0"/>
    </xf>
    <xf numFmtId="0" fontId="60" fillId="0" borderId="58" xfId="367" applyBorder="1" applyAlignment="1">
      <alignment horizontal="center" vertical="center"/>
    </xf>
    <xf numFmtId="0" fontId="60" fillId="0" borderId="0" xfId="367" applyAlignment="1">
      <alignment horizontal="center" vertical="center"/>
    </xf>
    <xf numFmtId="0" fontId="60" fillId="0" borderId="27" xfId="367" applyBorder="1" applyAlignment="1">
      <alignment horizontal="center" vertical="center"/>
    </xf>
    <xf numFmtId="0" fontId="14" fillId="0" borderId="0" xfId="108" applyFont="1" applyAlignment="1">
      <alignment wrapText="1"/>
    </xf>
    <xf numFmtId="0" fontId="70" fillId="0" borderId="66" xfId="109" applyFont="1" applyBorder="1" applyAlignment="1">
      <alignment horizontal="center" vertical="center"/>
    </xf>
    <xf numFmtId="0" fontId="70" fillId="0" borderId="67" xfId="109" applyFont="1" applyBorder="1" applyAlignment="1">
      <alignment horizontal="center" vertical="center"/>
    </xf>
    <xf numFmtId="0" fontId="70" fillId="0" borderId="62" xfId="109" applyFont="1" applyBorder="1" applyAlignment="1">
      <alignment horizontal="center" vertical="center"/>
    </xf>
    <xf numFmtId="0" fontId="50" fillId="27" borderId="17" xfId="6" applyFont="1" applyFill="1" applyBorder="1" applyAlignment="1" applyProtection="1">
      <alignment horizontal="center" vertical="center"/>
    </xf>
    <xf numFmtId="0" fontId="50" fillId="27" borderId="67" xfId="6" applyFont="1" applyFill="1" applyBorder="1" applyAlignment="1" applyProtection="1">
      <alignment horizontal="center" vertical="center"/>
    </xf>
    <xf numFmtId="0" fontId="50" fillId="27" borderId="62" xfId="6" applyFont="1" applyFill="1" applyBorder="1" applyAlignment="1" applyProtection="1">
      <alignment horizontal="center" vertical="center"/>
    </xf>
    <xf numFmtId="0" fontId="70" fillId="0" borderId="42" xfId="109" applyFont="1" applyBorder="1" applyAlignment="1">
      <alignment horizontal="center" vertical="center"/>
    </xf>
    <xf numFmtId="0" fontId="59" fillId="0" borderId="49" xfId="109" applyFont="1" applyBorder="1" applyAlignment="1">
      <alignment horizontal="center" vertical="center"/>
    </xf>
    <xf numFmtId="0" fontId="59" fillId="0" borderId="57" xfId="109" applyFont="1" applyBorder="1" applyAlignment="1">
      <alignment horizontal="center" vertical="center"/>
    </xf>
    <xf numFmtId="0" fontId="70" fillId="0" borderId="49" xfId="109" applyFont="1" applyBorder="1" applyAlignment="1">
      <alignment horizontal="center" vertical="center"/>
    </xf>
    <xf numFmtId="0" fontId="70" fillId="0" borderId="57" xfId="109" applyFont="1" applyBorder="1" applyAlignment="1">
      <alignment horizontal="center" vertical="center"/>
    </xf>
    <xf numFmtId="0" fontId="70" fillId="27" borderId="66" xfId="109" applyFont="1" applyFill="1" applyBorder="1" applyAlignment="1">
      <alignment horizontal="center" vertical="center"/>
    </xf>
    <xf numFmtId="0" fontId="70" fillId="27" borderId="67" xfId="109" applyFont="1" applyFill="1" applyBorder="1" applyAlignment="1">
      <alignment horizontal="center" vertical="center"/>
    </xf>
    <xf numFmtId="0" fontId="70" fillId="27" borderId="62" xfId="109" applyFont="1" applyFill="1" applyBorder="1" applyAlignment="1">
      <alignment horizontal="center" vertical="center"/>
    </xf>
    <xf numFmtId="0" fontId="50" fillId="27" borderId="115" xfId="6" applyFont="1" applyFill="1" applyBorder="1" applyAlignment="1" applyProtection="1">
      <alignment horizontal="center" vertical="center"/>
    </xf>
    <xf numFmtId="0" fontId="50" fillId="27" borderId="113" xfId="6" applyFont="1" applyFill="1" applyBorder="1" applyAlignment="1" applyProtection="1">
      <alignment horizontal="center" vertical="center"/>
    </xf>
    <xf numFmtId="0" fontId="50" fillId="27" borderId="112" xfId="6" applyFont="1" applyFill="1" applyBorder="1" applyAlignment="1" applyProtection="1">
      <alignment horizontal="center" vertical="center"/>
    </xf>
    <xf numFmtId="0" fontId="85" fillId="58" borderId="40" xfId="109" applyFont="1" applyFill="1" applyBorder="1" applyAlignment="1">
      <alignment horizontal="center" vertical="center"/>
    </xf>
    <xf numFmtId="0" fontId="85" fillId="58" borderId="38" xfId="109" applyFont="1" applyFill="1" applyBorder="1" applyAlignment="1">
      <alignment horizontal="center" vertical="center"/>
    </xf>
    <xf numFmtId="0" fontId="70" fillId="58" borderId="38" xfId="109" applyFont="1" applyFill="1" applyBorder="1" applyAlignment="1">
      <alignment horizontal="center" vertical="center"/>
    </xf>
    <xf numFmtId="0" fontId="70" fillId="58" borderId="39" xfId="109" applyFont="1" applyFill="1" applyBorder="1" applyAlignment="1">
      <alignment horizontal="center" vertical="center"/>
    </xf>
    <xf numFmtId="0" fontId="70" fillId="58" borderId="51" xfId="109" applyFont="1" applyFill="1" applyBorder="1" applyAlignment="1">
      <alignment horizontal="center" vertical="center"/>
    </xf>
    <xf numFmtId="0" fontId="70" fillId="58" borderId="14" xfId="109" applyFont="1" applyFill="1" applyBorder="1" applyAlignment="1">
      <alignment horizontal="center" vertical="center"/>
    </xf>
    <xf numFmtId="0" fontId="70" fillId="58" borderId="26" xfId="109" applyFont="1" applyFill="1" applyBorder="1" applyAlignment="1">
      <alignment horizontal="center" vertical="center"/>
    </xf>
    <xf numFmtId="0" fontId="85" fillId="59" borderId="40" xfId="109" applyFont="1" applyFill="1" applyBorder="1" applyAlignment="1">
      <alignment horizontal="center" vertical="center"/>
    </xf>
    <xf numFmtId="0" fontId="85" fillId="59" borderId="38" xfId="109" applyFont="1" applyFill="1" applyBorder="1" applyAlignment="1">
      <alignment horizontal="center" vertical="center"/>
    </xf>
    <xf numFmtId="0" fontId="85" fillId="59" borderId="39" xfId="109" applyFont="1" applyFill="1" applyBorder="1" applyAlignment="1">
      <alignment horizontal="center" vertical="center"/>
    </xf>
    <xf numFmtId="0" fontId="85" fillId="59" borderId="51" xfId="109" applyFont="1" applyFill="1" applyBorder="1" applyAlignment="1">
      <alignment horizontal="center" vertical="center"/>
    </xf>
    <xf numFmtId="0" fontId="85" fillId="59" borderId="14" xfId="109" applyFont="1" applyFill="1" applyBorder="1" applyAlignment="1">
      <alignment horizontal="center" vertical="center"/>
    </xf>
    <xf numFmtId="0" fontId="85" fillId="59" borderId="26" xfId="109" applyFont="1" applyFill="1" applyBorder="1" applyAlignment="1">
      <alignment horizontal="center" vertical="center"/>
    </xf>
    <xf numFmtId="0" fontId="59" fillId="58" borderId="106" xfId="366" applyFont="1" applyFill="1" applyBorder="1" applyAlignment="1">
      <alignment horizontal="center"/>
    </xf>
    <xf numFmtId="0" fontId="59" fillId="59" borderId="106" xfId="366" applyFont="1" applyFill="1" applyBorder="1" applyAlignment="1">
      <alignment horizontal="center"/>
    </xf>
    <xf numFmtId="0" fontId="70" fillId="0" borderId="16" xfId="109" applyFont="1" applyBorder="1" applyAlignment="1">
      <alignment horizontal="center" vertical="center"/>
    </xf>
    <xf numFmtId="0" fontId="70" fillId="0" borderId="85" xfId="109" applyFont="1" applyBorder="1" applyAlignment="1">
      <alignment horizontal="center" vertical="center"/>
    </xf>
    <xf numFmtId="0" fontId="70" fillId="0" borderId="17" xfId="109" applyFont="1" applyBorder="1" applyAlignment="1">
      <alignment horizontal="center" vertical="center"/>
    </xf>
    <xf numFmtId="0" fontId="50" fillId="27" borderId="66" xfId="6" applyFont="1" applyFill="1" applyBorder="1" applyAlignment="1" applyProtection="1">
      <alignment horizontal="center" vertical="center"/>
    </xf>
    <xf numFmtId="0" fontId="59" fillId="58" borderId="111" xfId="366" applyFont="1" applyFill="1" applyBorder="1" applyAlignment="1">
      <alignment horizontal="center"/>
    </xf>
    <xf numFmtId="0" fontId="59" fillId="58" borderId="110" xfId="366" applyFont="1" applyFill="1" applyBorder="1" applyAlignment="1">
      <alignment horizontal="center"/>
    </xf>
    <xf numFmtId="0" fontId="59" fillId="59" borderId="111" xfId="366" applyFont="1" applyFill="1" applyBorder="1" applyAlignment="1">
      <alignment horizontal="center"/>
    </xf>
    <xf numFmtId="0" fontId="59" fillId="59" borderId="110" xfId="366" applyFont="1" applyFill="1" applyBorder="1" applyAlignment="1">
      <alignment horizontal="center"/>
    </xf>
    <xf numFmtId="0" fontId="70" fillId="27" borderId="66" xfId="110" applyFont="1" applyFill="1" applyBorder="1" applyAlignment="1">
      <alignment horizontal="center" vertical="center"/>
    </xf>
    <xf numFmtId="0" fontId="70" fillId="27" borderId="67" xfId="110" applyFont="1" applyFill="1" applyBorder="1" applyAlignment="1">
      <alignment horizontal="center" vertical="center"/>
    </xf>
    <xf numFmtId="0" fontId="70" fillId="27" borderId="62" xfId="110" applyFont="1" applyFill="1" applyBorder="1" applyAlignment="1">
      <alignment horizontal="center" vertical="center"/>
    </xf>
    <xf numFmtId="0" fontId="70" fillId="27" borderId="116" xfId="110" applyFont="1" applyFill="1" applyBorder="1" applyAlignment="1">
      <alignment horizontal="center" vertical="center"/>
    </xf>
    <xf numFmtId="0" fontId="70" fillId="27" borderId="117" xfId="110" applyFont="1" applyFill="1" applyBorder="1" applyAlignment="1">
      <alignment horizontal="center" vertical="center"/>
    </xf>
    <xf numFmtId="0" fontId="70" fillId="27" borderId="118" xfId="110" applyFont="1" applyFill="1" applyBorder="1" applyAlignment="1">
      <alignment horizontal="center" vertical="center"/>
    </xf>
    <xf numFmtId="0" fontId="62" fillId="29" borderId="11" xfId="70" applyFont="1" applyFill="1" applyBorder="1" applyAlignment="1" applyProtection="1">
      <alignment horizontal="center" vertical="center"/>
      <protection locked="0"/>
    </xf>
    <xf numFmtId="0" fontId="62" fillId="29" borderId="47" xfId="70" applyFont="1" applyFill="1" applyBorder="1" applyAlignment="1" applyProtection="1">
      <alignment horizontal="center" vertical="center"/>
      <protection locked="0"/>
    </xf>
    <xf numFmtId="0" fontId="67" fillId="26" borderId="91" xfId="110" applyFont="1" applyFill="1" applyBorder="1" applyAlignment="1">
      <alignment horizontal="center" vertical="center"/>
    </xf>
    <xf numFmtId="0" fontId="67" fillId="26" borderId="54" xfId="110" applyFont="1" applyFill="1" applyBorder="1" applyAlignment="1">
      <alignment horizontal="center" vertical="center"/>
    </xf>
    <xf numFmtId="0" fontId="49" fillId="29" borderId="105" xfId="72"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1" fillId="0" borderId="106" xfId="108" applyBorder="1" applyAlignment="1">
      <alignment horizontal="left" vertical="center" wrapText="1"/>
    </xf>
    <xf numFmtId="0" fontId="14" fillId="27" borderId="42" xfId="108" applyFont="1" applyFill="1" applyBorder="1" applyAlignment="1">
      <alignment horizontal="center" vertical="center" wrapText="1"/>
    </xf>
    <xf numFmtId="0" fontId="14" fillId="27" borderId="49" xfId="108" applyFont="1" applyFill="1" applyBorder="1" applyAlignment="1">
      <alignment horizontal="center" vertical="center" wrapText="1"/>
    </xf>
    <xf numFmtId="0" fontId="14" fillId="27" borderId="57" xfId="108" applyFont="1" applyFill="1" applyBorder="1" applyAlignment="1">
      <alignment horizontal="center" vertical="center" wrapText="1"/>
    </xf>
    <xf numFmtId="0" fontId="11" fillId="0" borderId="16" xfId="108" applyBorder="1" applyAlignment="1">
      <alignment horizontal="center" vertical="center" wrapText="1"/>
    </xf>
    <xf numFmtId="0" fontId="11" fillId="0" borderId="17" xfId="108" applyBorder="1" applyAlignment="1">
      <alignment horizontal="center" vertical="center" wrapText="1"/>
    </xf>
    <xf numFmtId="0" fontId="11" fillId="0" borderId="114" xfId="108" applyBorder="1" applyAlignment="1">
      <alignment horizontal="center" vertical="center" wrapText="1"/>
    </xf>
    <xf numFmtId="0" fontId="11" fillId="0" borderId="89" xfId="108" applyBorder="1" applyAlignment="1">
      <alignment horizontal="center" vertical="center" wrapText="1"/>
    </xf>
    <xf numFmtId="0" fontId="11" fillId="0" borderId="91" xfId="108" applyBorder="1" applyAlignment="1">
      <alignment horizontal="center" vertical="center" wrapText="1"/>
    </xf>
    <xf numFmtId="0" fontId="27" fillId="26" borderId="82" xfId="108" applyFont="1" applyFill="1" applyBorder="1" applyAlignment="1">
      <alignment horizontal="left" vertical="center" wrapText="1"/>
    </xf>
    <xf numFmtId="0" fontId="27" fillId="26" borderId="109" xfId="108" applyFont="1" applyFill="1" applyBorder="1" applyAlignment="1">
      <alignment horizontal="left" vertical="center" wrapText="1"/>
    </xf>
    <xf numFmtId="0" fontId="27" fillId="26" borderId="54" xfId="108" applyFont="1" applyFill="1" applyBorder="1" applyAlignment="1">
      <alignment horizontal="left" vertical="center" wrapText="1"/>
    </xf>
    <xf numFmtId="0" fontId="14" fillId="27" borderId="66" xfId="108" applyFont="1" applyFill="1" applyBorder="1" applyAlignment="1">
      <alignment horizontal="center" vertical="center"/>
    </xf>
    <xf numFmtId="0" fontId="14" fillId="27" borderId="67" xfId="108" applyFont="1" applyFill="1" applyBorder="1" applyAlignment="1">
      <alignment horizontal="center" vertical="center"/>
    </xf>
    <xf numFmtId="0" fontId="14" fillId="27" borderId="18" xfId="108" applyFont="1" applyFill="1" applyBorder="1" applyAlignment="1">
      <alignment horizontal="center" vertical="center"/>
    </xf>
    <xf numFmtId="0" fontId="14" fillId="27" borderId="10" xfId="108" applyFont="1" applyFill="1" applyBorder="1" applyAlignment="1">
      <alignment horizontal="center" vertical="center"/>
    </xf>
    <xf numFmtId="0" fontId="14" fillId="27" borderId="11" xfId="108" applyFont="1" applyFill="1" applyBorder="1" applyAlignment="1">
      <alignment horizontal="center" vertical="center"/>
    </xf>
    <xf numFmtId="0" fontId="51" fillId="29" borderId="45" xfId="72" applyFont="1" applyFill="1" applyBorder="1" applyAlignment="1" applyProtection="1">
      <alignment horizontal="center" vertical="center"/>
      <protection locked="0"/>
    </xf>
    <xf numFmtId="0" fontId="51" fillId="29" borderId="21" xfId="72" applyFont="1" applyFill="1" applyBorder="1" applyAlignment="1" applyProtection="1">
      <alignment horizontal="center" vertical="center"/>
      <protection locked="0"/>
    </xf>
    <xf numFmtId="0" fontId="51" fillId="29" borderId="19" xfId="72" applyFont="1" applyFill="1" applyBorder="1" applyAlignment="1" applyProtection="1">
      <alignment horizontal="center" vertical="center"/>
      <protection locked="0"/>
    </xf>
    <xf numFmtId="0" fontId="14" fillId="0" borderId="34" xfId="108" applyFont="1" applyBorder="1" applyAlignment="1">
      <alignment vertical="center" wrapText="1"/>
    </xf>
    <xf numFmtId="0" fontId="14" fillId="0" borderId="13" xfId="108" applyFont="1" applyBorder="1" applyAlignment="1">
      <alignment vertical="center" wrapText="1"/>
    </xf>
    <xf numFmtId="0" fontId="22" fillId="0" borderId="101" xfId="1111" applyFont="1" applyBorder="1" applyAlignment="1">
      <alignment horizontal="left" vertical="center" wrapText="1"/>
    </xf>
    <xf numFmtId="0" fontId="22" fillId="0" borderId="94" xfId="1111" applyFont="1" applyBorder="1" applyAlignment="1">
      <alignment horizontal="left" vertical="center" wrapText="1"/>
    </xf>
    <xf numFmtId="0" fontId="11" fillId="0" borderId="137" xfId="1111" applyBorder="1" applyAlignment="1">
      <alignment horizontal="center" vertical="center" wrapText="1"/>
    </xf>
    <xf numFmtId="0" fontId="11" fillId="0" borderId="95" xfId="1111" applyBorder="1" applyAlignment="1">
      <alignment horizontal="center" vertical="center" wrapText="1"/>
    </xf>
    <xf numFmtId="0" fontId="11" fillId="29" borderId="105" xfId="368" applyFont="1" applyFill="1" applyBorder="1" applyAlignment="1" applyProtection="1">
      <alignment horizontal="center" vertical="center" wrapText="1"/>
      <protection locked="0"/>
    </xf>
    <xf numFmtId="0" fontId="11" fillId="29" borderId="19" xfId="368" applyFont="1" applyFill="1" applyBorder="1" applyAlignment="1" applyProtection="1">
      <alignment horizontal="center" vertical="center" wrapText="1"/>
      <protection locked="0"/>
    </xf>
    <xf numFmtId="0" fontId="14" fillId="0" borderId="34" xfId="1111" applyFont="1" applyBorder="1" applyAlignment="1">
      <alignment horizontal="left" vertical="center" wrapText="1"/>
    </xf>
    <xf numFmtId="0" fontId="14" fillId="0" borderId="13" xfId="1111" applyFont="1" applyBorder="1" applyAlignment="1">
      <alignment horizontal="left" vertical="center" wrapText="1"/>
    </xf>
    <xf numFmtId="0" fontId="0" fillId="0" borderId="0" xfId="0" applyAlignment="1">
      <alignment horizontal="left" vertical="center"/>
    </xf>
    <xf numFmtId="0" fontId="11" fillId="0" borderId="100" xfId="108" applyBorder="1" applyAlignment="1">
      <alignment horizontal="center" vertical="center" wrapText="1"/>
    </xf>
    <xf numFmtId="0" fontId="11" fillId="28" borderId="120" xfId="72" applyFont="1" applyFill="1" applyBorder="1" applyAlignment="1" applyProtection="1">
      <alignment horizontal="center" vertical="center" wrapText="1"/>
    </xf>
    <xf numFmtId="0" fontId="11" fillId="28" borderId="121" xfId="72" applyFont="1" applyFill="1" applyBorder="1" applyAlignment="1" applyProtection="1">
      <alignment horizontal="center" vertical="center" wrapText="1"/>
    </xf>
    <xf numFmtId="0" fontId="11" fillId="28" borderId="122" xfId="72" applyFont="1" applyFill="1" applyBorder="1" applyAlignment="1" applyProtection="1">
      <alignment horizontal="center" vertical="center" wrapText="1"/>
    </xf>
    <xf numFmtId="0" fontId="11" fillId="29" borderId="98" xfId="72" applyFont="1" applyFill="1" applyBorder="1" applyAlignment="1" applyProtection="1">
      <alignment horizontal="center" vertical="center" wrapText="1"/>
      <protection locked="0"/>
    </xf>
    <xf numFmtId="0" fontId="11" fillId="29" borderId="99" xfId="72" applyFont="1" applyFill="1" applyBorder="1" applyAlignment="1" applyProtection="1">
      <alignment horizontal="center" vertical="center" wrapText="1"/>
      <protection locked="0"/>
    </xf>
    <xf numFmtId="0" fontId="14" fillId="28" borderId="27" xfId="108" applyFont="1" applyFill="1" applyBorder="1" applyAlignment="1">
      <alignment vertical="center" wrapText="1"/>
    </xf>
    <xf numFmtId="0" fontId="0" fillId="0" borderId="58" xfId="0" applyBorder="1" applyAlignment="1">
      <alignment vertical="center" wrapText="1"/>
    </xf>
    <xf numFmtId="0" fontId="14" fillId="0" borderId="105" xfId="108" applyFont="1" applyBorder="1" applyAlignment="1">
      <alignment vertical="center" wrapText="1"/>
    </xf>
    <xf numFmtId="0" fontId="0" fillId="0" borderId="21" xfId="0" applyBorder="1" applyAlignment="1">
      <alignment vertical="center" wrapText="1"/>
    </xf>
    <xf numFmtId="0" fontId="0" fillId="0" borderId="19" xfId="0" applyBorder="1" applyAlignment="1">
      <alignment vertical="center" wrapText="1"/>
    </xf>
    <xf numFmtId="0" fontId="14" fillId="0" borderId="101" xfId="1111" applyFont="1" applyBorder="1" applyAlignment="1">
      <alignment horizontal="left" vertical="center" wrapText="1"/>
    </xf>
    <xf numFmtId="0" fontId="14" fillId="0" borderId="94" xfId="1111" applyFont="1" applyBorder="1" applyAlignment="1">
      <alignment horizontal="left" vertical="center" wrapText="1"/>
    </xf>
    <xf numFmtId="0" fontId="11" fillId="0" borderId="137" xfId="0" applyFont="1" applyBorder="1" applyAlignment="1">
      <alignment horizontal="center" vertical="center" wrapText="1"/>
    </xf>
    <xf numFmtId="0" fontId="11" fillId="0" borderId="95" xfId="0" applyFont="1" applyBorder="1" applyAlignment="1">
      <alignment horizontal="center" vertical="center" wrapText="1"/>
    </xf>
    <xf numFmtId="0" fontId="27" fillId="26" borderId="51" xfId="108" applyFont="1" applyFill="1" applyBorder="1" applyAlignment="1">
      <alignment vertical="center" wrapText="1"/>
    </xf>
    <xf numFmtId="0" fontId="0" fillId="0" borderId="14" xfId="0" applyBorder="1" applyAlignment="1">
      <alignment vertical="center" wrapText="1"/>
    </xf>
    <xf numFmtId="0" fontId="14" fillId="0" borderId="21" xfId="0" applyFont="1" applyBorder="1" applyAlignment="1">
      <alignment vertical="center" wrapText="1"/>
    </xf>
    <xf numFmtId="0" fontId="14" fillId="0" borderId="19" xfId="0" applyFont="1" applyBorder="1" applyAlignment="1">
      <alignment vertical="center" wrapText="1"/>
    </xf>
    <xf numFmtId="0" fontId="15" fillId="0" borderId="0" xfId="1111" applyFont="1" applyAlignment="1">
      <alignment horizontal="left" vertical="center"/>
    </xf>
    <xf numFmtId="0" fontId="14" fillId="0" borderId="0" xfId="108" applyFont="1" applyAlignment="1">
      <alignment horizontal="left" vertical="center"/>
    </xf>
    <xf numFmtId="0" fontId="70" fillId="0" borderId="42" xfId="886" applyFont="1" applyBorder="1" applyAlignment="1">
      <alignment horizontal="center" vertical="center"/>
    </xf>
    <xf numFmtId="0" fontId="70" fillId="0" borderId="49" xfId="886" applyFont="1" applyBorder="1" applyAlignment="1">
      <alignment horizontal="center" vertical="center"/>
    </xf>
    <xf numFmtId="0" fontId="70" fillId="0" borderId="57" xfId="886" applyFont="1" applyBorder="1" applyAlignment="1">
      <alignment horizontal="center" vertical="center"/>
    </xf>
  </cellXfs>
  <cellStyles count="1112">
    <cellStyle name="20 % - Akzent1" xfId="146" builtinId="30" hidden="1"/>
    <cellStyle name="20 % - Akzent2 2" xfId="1"/>
    <cellStyle name="20 % - Akzent2 2 2" xfId="2"/>
    <cellStyle name="20 % - Akzent3" xfId="151" builtinId="38" hidden="1"/>
    <cellStyle name="20 % - Akzent4" xfId="154" builtinId="42" hidden="1"/>
    <cellStyle name="20 % - Akzent5" xfId="157" builtinId="46" hidden="1"/>
    <cellStyle name="20 % - Akzent6" xfId="160" builtinId="50" hidden="1"/>
    <cellStyle name="20% - Akzent1" xfId="3"/>
    <cellStyle name="20% - Akzent1 2" xfId="4"/>
    <cellStyle name="20% - Akzent1 3" xfId="5"/>
    <cellStyle name="20% - Akzent2" xfId="6"/>
    <cellStyle name="20% - Akzent2 2" xfId="7"/>
    <cellStyle name="20% - Akzent2 2 2" xfId="8"/>
    <cellStyle name="20% - Akzent2 2 3" xfId="9"/>
    <cellStyle name="20% - Akzent2 3" xfId="10"/>
    <cellStyle name="20% - Akzent3" xfId="11"/>
    <cellStyle name="20% - Akzent3 2" xfId="12"/>
    <cellStyle name="20% - Akzent3 3" xfId="13"/>
    <cellStyle name="20% - Akzent4" xfId="14"/>
    <cellStyle name="20% - Akzent4 2" xfId="15"/>
    <cellStyle name="20% - Akzent4 3" xfId="16"/>
    <cellStyle name="20% - Akzent5" xfId="17"/>
    <cellStyle name="20% - Akzent5 2" xfId="18"/>
    <cellStyle name="20% - Akzent5 3" xfId="19"/>
    <cellStyle name="20% - Akzent6" xfId="20"/>
    <cellStyle name="20% - Akzent6 2" xfId="21"/>
    <cellStyle name="20% - Akzent6 3" xfId="22"/>
    <cellStyle name="40 % - Akzent1" xfId="147" builtinId="31" hidden="1"/>
    <cellStyle name="40 % - Akzent2" xfId="149" builtinId="35" hidden="1"/>
    <cellStyle name="40 % - Akzent3" xfId="152" builtinId="39" hidden="1"/>
    <cellStyle name="40 % - Akzent4" xfId="155" builtinId="43" hidden="1"/>
    <cellStyle name="40 % - Akzent5" xfId="158" builtinId="47" hidden="1"/>
    <cellStyle name="40 % - Akzent6" xfId="161" builtinId="51" hidden="1"/>
    <cellStyle name="40% - Akzent1" xfId="23"/>
    <cellStyle name="40% - Akzent1 2" xfId="24"/>
    <cellStyle name="40% - Akzent1 3" xfId="25"/>
    <cellStyle name="40% - Akzent2" xfId="26"/>
    <cellStyle name="40% - Akzent2 2" xfId="27"/>
    <cellStyle name="40% - Akzent2 3" xfId="28"/>
    <cellStyle name="40% - Akzent3" xfId="29"/>
    <cellStyle name="40% - Akzent3 2" xfId="30"/>
    <cellStyle name="40% - Akzent3 3" xfId="31"/>
    <cellStyle name="40% - Akzent4" xfId="32"/>
    <cellStyle name="40% - Akzent4 2" xfId="33"/>
    <cellStyle name="40% - Akzent4 3" xfId="34"/>
    <cellStyle name="40% - Akzent5" xfId="35"/>
    <cellStyle name="40% - Akzent5 2" xfId="36"/>
    <cellStyle name="40% - Akzent5 3" xfId="37"/>
    <cellStyle name="40% - Akzent6" xfId="38"/>
    <cellStyle name="40% - Akzent6 2" xfId="39"/>
    <cellStyle name="40% - Akzent6 3" xfId="40"/>
    <cellStyle name="60 % - Akzent1" xfId="148" builtinId="32" hidden="1"/>
    <cellStyle name="60 % - Akzent2" xfId="150" builtinId="36" hidden="1"/>
    <cellStyle name="60 % - Akzent3" xfId="153" builtinId="40" hidden="1"/>
    <cellStyle name="60 % - Akzent4" xfId="156" builtinId="44" hidden="1"/>
    <cellStyle name="60 % - Akzent5" xfId="159" builtinId="48" hidden="1"/>
    <cellStyle name="60 % - Akzent6" xfId="162" builtinId="52" hidden="1"/>
    <cellStyle name="60% - Akzent1" xfId="41"/>
    <cellStyle name="60% - Akzent2" xfId="42"/>
    <cellStyle name="60% - Akzent3" xfId="43"/>
    <cellStyle name="60% - Akzent4" xfId="44"/>
    <cellStyle name="60% - Akzent5" xfId="45"/>
    <cellStyle name="60% - Akzent6" xfId="46"/>
    <cellStyle name="Akzent1" xfId="47"/>
    <cellStyle name="Akzent1 2" xfId="48"/>
    <cellStyle name="Akzent2" xfId="49"/>
    <cellStyle name="Akzent2 2" xfId="50"/>
    <cellStyle name="Akzent3" xfId="51"/>
    <cellStyle name="Akzent3 2" xfId="52"/>
    <cellStyle name="Akzent4" xfId="53"/>
    <cellStyle name="Akzent4 2" xfId="54"/>
    <cellStyle name="Akzent5" xfId="55"/>
    <cellStyle name="Akzent5 2" xfId="56"/>
    <cellStyle name="Akzent6" xfId="57"/>
    <cellStyle name="Akzent6 2" xfId="58"/>
    <cellStyle name="Ausgabe" xfId="59"/>
    <cellStyle name="Ausgabe 2" xfId="60"/>
    <cellStyle name="Ausgabe 3" xfId="61"/>
    <cellStyle name="Ausgabe 3 2" xfId="370"/>
    <cellStyle name="Ausgabe 4" xfId="369"/>
    <cellStyle name="Berechnung" xfId="62"/>
    <cellStyle name="Berechnung 2" xfId="63"/>
    <cellStyle name="Berechnung 2 2" xfId="372"/>
    <cellStyle name="Berechnung 3" xfId="371"/>
    <cellStyle name="Dezimal 2" xfId="64"/>
    <cellStyle name="Dezimal 2 10" xfId="866"/>
    <cellStyle name="Dezimal 2 2" xfId="65"/>
    <cellStyle name="Dezimal 2 2 2" xfId="66"/>
    <cellStyle name="Dezimal 2 2 2 2" xfId="206"/>
    <cellStyle name="Dezimal 2 2 2 2 2" xfId="327"/>
    <cellStyle name="Dezimal 2 2 2 2 2 2" xfId="584"/>
    <cellStyle name="Dezimal 2 2 2 2 2 3" xfId="828"/>
    <cellStyle name="Dezimal 2 2 2 2 2 4" xfId="1071"/>
    <cellStyle name="Dezimal 2 2 2 2 3" xfId="463"/>
    <cellStyle name="Dezimal 2 2 2 2 4" xfId="707"/>
    <cellStyle name="Dezimal 2 2 2 2 5" xfId="950"/>
    <cellStyle name="Dezimal 2 2 2 3" xfId="165"/>
    <cellStyle name="Dezimal 2 2 2 3 2" xfId="286"/>
    <cellStyle name="Dezimal 2 2 2 3 2 2" xfId="543"/>
    <cellStyle name="Dezimal 2 2 2 3 2 3" xfId="787"/>
    <cellStyle name="Dezimal 2 2 2 3 2 4" xfId="1030"/>
    <cellStyle name="Dezimal 2 2 2 3 3" xfId="422"/>
    <cellStyle name="Dezimal 2 2 2 3 4" xfId="666"/>
    <cellStyle name="Dezimal 2 2 2 3 5" xfId="909"/>
    <cellStyle name="Dezimal 2 2 2 4" xfId="246"/>
    <cellStyle name="Dezimal 2 2 2 4 2" xfId="503"/>
    <cellStyle name="Dezimal 2 2 2 4 3" xfId="747"/>
    <cellStyle name="Dezimal 2 2 2 4 4" xfId="990"/>
    <cellStyle name="Dezimal 2 2 2 5" xfId="375"/>
    <cellStyle name="Dezimal 2 2 2 6" xfId="625"/>
    <cellStyle name="Dezimal 2 2 2 7" xfId="868"/>
    <cellStyle name="Dezimal 2 2 3" xfId="205"/>
    <cellStyle name="Dezimal 2 2 3 2" xfId="326"/>
    <cellStyle name="Dezimal 2 2 3 2 2" xfId="583"/>
    <cellStyle name="Dezimal 2 2 3 2 3" xfId="827"/>
    <cellStyle name="Dezimal 2 2 3 2 4" xfId="1070"/>
    <cellStyle name="Dezimal 2 2 3 3" xfId="462"/>
    <cellStyle name="Dezimal 2 2 3 4" xfId="706"/>
    <cellStyle name="Dezimal 2 2 3 5" xfId="949"/>
    <cellStyle name="Dezimal 2 2 4" xfId="164"/>
    <cellStyle name="Dezimal 2 2 4 2" xfId="285"/>
    <cellStyle name="Dezimal 2 2 4 2 2" xfId="542"/>
    <cellStyle name="Dezimal 2 2 4 2 3" xfId="786"/>
    <cellStyle name="Dezimal 2 2 4 2 4" xfId="1029"/>
    <cellStyle name="Dezimal 2 2 4 3" xfId="421"/>
    <cellStyle name="Dezimal 2 2 4 4" xfId="665"/>
    <cellStyle name="Dezimal 2 2 4 5" xfId="908"/>
    <cellStyle name="Dezimal 2 2 5" xfId="245"/>
    <cellStyle name="Dezimal 2 2 5 2" xfId="502"/>
    <cellStyle name="Dezimal 2 2 5 3" xfId="746"/>
    <cellStyle name="Dezimal 2 2 5 4" xfId="989"/>
    <cellStyle name="Dezimal 2 2 6" xfId="374"/>
    <cellStyle name="Dezimal 2 2 7" xfId="624"/>
    <cellStyle name="Dezimal 2 2 8" xfId="867"/>
    <cellStyle name="Dezimal 2 3" xfId="67"/>
    <cellStyle name="Dezimal 2 3 2" xfId="207"/>
    <cellStyle name="Dezimal 2 3 2 2" xfId="328"/>
    <cellStyle name="Dezimal 2 3 2 2 2" xfId="585"/>
    <cellStyle name="Dezimal 2 3 2 2 3" xfId="829"/>
    <cellStyle name="Dezimal 2 3 2 2 4" xfId="1072"/>
    <cellStyle name="Dezimal 2 3 2 3" xfId="464"/>
    <cellStyle name="Dezimal 2 3 2 4" xfId="708"/>
    <cellStyle name="Dezimal 2 3 2 5" xfId="951"/>
    <cellStyle name="Dezimal 2 3 3" xfId="166"/>
    <cellStyle name="Dezimal 2 3 3 2" xfId="287"/>
    <cellStyle name="Dezimal 2 3 3 2 2" xfId="544"/>
    <cellStyle name="Dezimal 2 3 3 2 3" xfId="788"/>
    <cellStyle name="Dezimal 2 3 3 2 4" xfId="1031"/>
    <cellStyle name="Dezimal 2 3 3 3" xfId="423"/>
    <cellStyle name="Dezimal 2 3 3 4" xfId="667"/>
    <cellStyle name="Dezimal 2 3 3 5" xfId="910"/>
    <cellStyle name="Dezimal 2 3 4" xfId="247"/>
    <cellStyle name="Dezimal 2 3 4 2" xfId="504"/>
    <cellStyle name="Dezimal 2 3 4 3" xfId="748"/>
    <cellStyle name="Dezimal 2 3 4 4" xfId="991"/>
    <cellStyle name="Dezimal 2 3 5" xfId="376"/>
    <cellStyle name="Dezimal 2 3 6" xfId="626"/>
    <cellStyle name="Dezimal 2 3 7" xfId="869"/>
    <cellStyle name="Dezimal 2 4" xfId="68"/>
    <cellStyle name="Dezimal 2 4 2" xfId="208"/>
    <cellStyle name="Dezimal 2 4 2 2" xfId="329"/>
    <cellStyle name="Dezimal 2 4 2 2 2" xfId="586"/>
    <cellStyle name="Dezimal 2 4 2 2 3" xfId="830"/>
    <cellStyle name="Dezimal 2 4 2 2 4" xfId="1073"/>
    <cellStyle name="Dezimal 2 4 2 3" xfId="465"/>
    <cellStyle name="Dezimal 2 4 2 4" xfId="709"/>
    <cellStyle name="Dezimal 2 4 2 5" xfId="952"/>
    <cellStyle name="Dezimal 2 4 3" xfId="167"/>
    <cellStyle name="Dezimal 2 4 3 2" xfId="288"/>
    <cellStyle name="Dezimal 2 4 3 2 2" xfId="545"/>
    <cellStyle name="Dezimal 2 4 3 2 3" xfId="789"/>
    <cellStyle name="Dezimal 2 4 3 2 4" xfId="1032"/>
    <cellStyle name="Dezimal 2 4 3 3" xfId="424"/>
    <cellStyle name="Dezimal 2 4 3 4" xfId="668"/>
    <cellStyle name="Dezimal 2 4 3 5" xfId="911"/>
    <cellStyle name="Dezimal 2 4 4" xfId="248"/>
    <cellStyle name="Dezimal 2 4 4 2" xfId="505"/>
    <cellStyle name="Dezimal 2 4 4 3" xfId="749"/>
    <cellStyle name="Dezimal 2 4 4 4" xfId="992"/>
    <cellStyle name="Dezimal 2 4 5" xfId="377"/>
    <cellStyle name="Dezimal 2 4 6" xfId="627"/>
    <cellStyle name="Dezimal 2 4 7" xfId="870"/>
    <cellStyle name="Dezimal 2 5" xfId="204"/>
    <cellStyle name="Dezimal 2 5 2" xfId="325"/>
    <cellStyle name="Dezimal 2 5 2 2" xfId="582"/>
    <cellStyle name="Dezimal 2 5 2 3" xfId="826"/>
    <cellStyle name="Dezimal 2 5 2 4" xfId="1069"/>
    <cellStyle name="Dezimal 2 5 3" xfId="461"/>
    <cellStyle name="Dezimal 2 5 4" xfId="705"/>
    <cellStyle name="Dezimal 2 5 5" xfId="948"/>
    <cellStyle name="Dezimal 2 6" xfId="163"/>
    <cellStyle name="Dezimal 2 6 2" xfId="284"/>
    <cellStyle name="Dezimal 2 6 2 2" xfId="541"/>
    <cellStyle name="Dezimal 2 6 2 3" xfId="785"/>
    <cellStyle name="Dezimal 2 6 2 4" xfId="1028"/>
    <cellStyle name="Dezimal 2 6 3" xfId="420"/>
    <cellStyle name="Dezimal 2 6 4" xfId="664"/>
    <cellStyle name="Dezimal 2 6 5" xfId="907"/>
    <cellStyle name="Dezimal 2 7" xfId="244"/>
    <cellStyle name="Dezimal 2 7 2" xfId="501"/>
    <cellStyle name="Dezimal 2 7 3" xfId="745"/>
    <cellStyle name="Dezimal 2 7 4" xfId="988"/>
    <cellStyle name="Dezimal 2 8" xfId="373"/>
    <cellStyle name="Dezimal 2 9" xfId="623"/>
    <cellStyle name="Eingabe" xfId="69"/>
    <cellStyle name="Eingabe 10" xfId="70"/>
    <cellStyle name="Eingabe 11" xfId="378"/>
    <cellStyle name="Eingabe 2" xfId="71"/>
    <cellStyle name="Eingabe 2 2" xfId="379"/>
    <cellStyle name="Eingabe 2_2010-12-07 Kriterien Sanierung Verwaltung Schule Sozial" xfId="72"/>
    <cellStyle name="Eingabe 2_2010-12-07 Kriterien Sanierung Verwaltung Schule Sozial 2" xfId="368"/>
    <cellStyle name="Eingabe 3" xfId="73"/>
    <cellStyle name="Eingabe 3 2" xfId="622"/>
    <cellStyle name="Eingabe 4" xfId="74"/>
    <cellStyle name="Eingabe 5" xfId="75"/>
    <cellStyle name="Eingabe 6" xfId="76"/>
    <cellStyle name="Eingabe 7" xfId="77"/>
    <cellStyle name="Eingabe 8" xfId="78"/>
    <cellStyle name="Eingabe 9" xfId="79"/>
    <cellStyle name="Ergebnis" xfId="80"/>
    <cellStyle name="Ergebnis 2" xfId="81"/>
    <cellStyle name="Ergebnis 2 2" xfId="381"/>
    <cellStyle name="Ergebnis 3" xfId="380"/>
    <cellStyle name="Erklärender Text" xfId="82"/>
    <cellStyle name="Erklärender Text 2" xfId="83"/>
    <cellStyle name="Gut" xfId="84"/>
    <cellStyle name="Gut 2" xfId="85"/>
    <cellStyle name="Komma" xfId="87" builtinId="3"/>
    <cellStyle name="Komma 2" xfId="88"/>
    <cellStyle name="Komma 2 10" xfId="628"/>
    <cellStyle name="Komma 2 11" xfId="871"/>
    <cellStyle name="Komma 2 2" xfId="89"/>
    <cellStyle name="Komma 2 2 2" xfId="90"/>
    <cellStyle name="Komma 2 2 2 2" xfId="211"/>
    <cellStyle name="Komma 2 2 2 2 2" xfId="332"/>
    <cellStyle name="Komma 2 2 2 2 2 2" xfId="589"/>
    <cellStyle name="Komma 2 2 2 2 2 3" xfId="833"/>
    <cellStyle name="Komma 2 2 2 2 2 4" xfId="1076"/>
    <cellStyle name="Komma 2 2 2 2 3" xfId="468"/>
    <cellStyle name="Komma 2 2 2 2 4" xfId="712"/>
    <cellStyle name="Komma 2 2 2 2 5" xfId="955"/>
    <cellStyle name="Komma 2 2 2 3" xfId="170"/>
    <cellStyle name="Komma 2 2 2 3 2" xfId="291"/>
    <cellStyle name="Komma 2 2 2 3 2 2" xfId="548"/>
    <cellStyle name="Komma 2 2 2 3 2 3" xfId="792"/>
    <cellStyle name="Komma 2 2 2 3 2 4" xfId="1035"/>
    <cellStyle name="Komma 2 2 2 3 3" xfId="427"/>
    <cellStyle name="Komma 2 2 2 3 4" xfId="671"/>
    <cellStyle name="Komma 2 2 2 3 5" xfId="914"/>
    <cellStyle name="Komma 2 2 2 4" xfId="251"/>
    <cellStyle name="Komma 2 2 2 4 2" xfId="508"/>
    <cellStyle name="Komma 2 2 2 4 3" xfId="752"/>
    <cellStyle name="Komma 2 2 2 4 4" xfId="995"/>
    <cellStyle name="Komma 2 2 2 5" xfId="384"/>
    <cellStyle name="Komma 2 2 2 6" xfId="630"/>
    <cellStyle name="Komma 2 2 2 7" xfId="873"/>
    <cellStyle name="Komma 2 2 3" xfId="210"/>
    <cellStyle name="Komma 2 2 3 2" xfId="331"/>
    <cellStyle name="Komma 2 2 3 2 2" xfId="588"/>
    <cellStyle name="Komma 2 2 3 2 3" xfId="832"/>
    <cellStyle name="Komma 2 2 3 2 4" xfId="1075"/>
    <cellStyle name="Komma 2 2 3 3" xfId="467"/>
    <cellStyle name="Komma 2 2 3 4" xfId="711"/>
    <cellStyle name="Komma 2 2 3 5" xfId="954"/>
    <cellStyle name="Komma 2 2 4" xfId="169"/>
    <cellStyle name="Komma 2 2 4 2" xfId="290"/>
    <cellStyle name="Komma 2 2 4 2 2" xfId="547"/>
    <cellStyle name="Komma 2 2 4 2 3" xfId="791"/>
    <cellStyle name="Komma 2 2 4 2 4" xfId="1034"/>
    <cellStyle name="Komma 2 2 4 3" xfId="426"/>
    <cellStyle name="Komma 2 2 4 4" xfId="670"/>
    <cellStyle name="Komma 2 2 4 5" xfId="913"/>
    <cellStyle name="Komma 2 2 5" xfId="250"/>
    <cellStyle name="Komma 2 2 5 2" xfId="507"/>
    <cellStyle name="Komma 2 2 5 3" xfId="751"/>
    <cellStyle name="Komma 2 2 5 4" xfId="994"/>
    <cellStyle name="Komma 2 2 6" xfId="383"/>
    <cellStyle name="Komma 2 2 7" xfId="629"/>
    <cellStyle name="Komma 2 2 8" xfId="872"/>
    <cellStyle name="Komma 2 3" xfId="91"/>
    <cellStyle name="Komma 2 3 2" xfId="92"/>
    <cellStyle name="Komma 2 3 2 2" xfId="213"/>
    <cellStyle name="Komma 2 3 2 2 2" xfId="334"/>
    <cellStyle name="Komma 2 3 2 2 2 2" xfId="591"/>
    <cellStyle name="Komma 2 3 2 2 2 3" xfId="835"/>
    <cellStyle name="Komma 2 3 2 2 2 4" xfId="1078"/>
    <cellStyle name="Komma 2 3 2 2 3" xfId="470"/>
    <cellStyle name="Komma 2 3 2 2 4" xfId="714"/>
    <cellStyle name="Komma 2 3 2 2 5" xfId="957"/>
    <cellStyle name="Komma 2 3 2 3" xfId="172"/>
    <cellStyle name="Komma 2 3 2 3 2" xfId="293"/>
    <cellStyle name="Komma 2 3 2 3 2 2" xfId="550"/>
    <cellStyle name="Komma 2 3 2 3 2 3" xfId="794"/>
    <cellStyle name="Komma 2 3 2 3 2 4" xfId="1037"/>
    <cellStyle name="Komma 2 3 2 3 3" xfId="429"/>
    <cellStyle name="Komma 2 3 2 3 4" xfId="673"/>
    <cellStyle name="Komma 2 3 2 3 5" xfId="916"/>
    <cellStyle name="Komma 2 3 2 4" xfId="253"/>
    <cellStyle name="Komma 2 3 2 4 2" xfId="510"/>
    <cellStyle name="Komma 2 3 2 4 3" xfId="754"/>
    <cellStyle name="Komma 2 3 2 4 4" xfId="997"/>
    <cellStyle name="Komma 2 3 2 5" xfId="386"/>
    <cellStyle name="Komma 2 3 2 6" xfId="632"/>
    <cellStyle name="Komma 2 3 2 7" xfId="875"/>
    <cellStyle name="Komma 2 3 3" xfId="212"/>
    <cellStyle name="Komma 2 3 3 2" xfId="333"/>
    <cellStyle name="Komma 2 3 3 2 2" xfId="590"/>
    <cellStyle name="Komma 2 3 3 2 3" xfId="834"/>
    <cellStyle name="Komma 2 3 3 2 4" xfId="1077"/>
    <cellStyle name="Komma 2 3 3 3" xfId="469"/>
    <cellStyle name="Komma 2 3 3 4" xfId="713"/>
    <cellStyle name="Komma 2 3 3 5" xfId="956"/>
    <cellStyle name="Komma 2 3 4" xfId="171"/>
    <cellStyle name="Komma 2 3 4 2" xfId="292"/>
    <cellStyle name="Komma 2 3 4 2 2" xfId="549"/>
    <cellStyle name="Komma 2 3 4 2 3" xfId="793"/>
    <cellStyle name="Komma 2 3 4 2 4" xfId="1036"/>
    <cellStyle name="Komma 2 3 4 3" xfId="428"/>
    <cellStyle name="Komma 2 3 4 4" xfId="672"/>
    <cellStyle name="Komma 2 3 4 5" xfId="915"/>
    <cellStyle name="Komma 2 3 5" xfId="252"/>
    <cellStyle name="Komma 2 3 5 2" xfId="509"/>
    <cellStyle name="Komma 2 3 5 3" xfId="753"/>
    <cellStyle name="Komma 2 3 5 4" xfId="996"/>
    <cellStyle name="Komma 2 3 6" xfId="385"/>
    <cellStyle name="Komma 2 3 7" xfId="631"/>
    <cellStyle name="Komma 2 3 8" xfId="874"/>
    <cellStyle name="Komma 2 4" xfId="93"/>
    <cellStyle name="Komma 2 4 2" xfId="214"/>
    <cellStyle name="Komma 2 4 2 2" xfId="335"/>
    <cellStyle name="Komma 2 4 2 2 2" xfId="592"/>
    <cellStyle name="Komma 2 4 2 2 3" xfId="836"/>
    <cellStyle name="Komma 2 4 2 2 4" xfId="1079"/>
    <cellStyle name="Komma 2 4 2 3" xfId="471"/>
    <cellStyle name="Komma 2 4 2 4" xfId="715"/>
    <cellStyle name="Komma 2 4 2 5" xfId="958"/>
    <cellStyle name="Komma 2 4 3" xfId="173"/>
    <cellStyle name="Komma 2 4 3 2" xfId="294"/>
    <cellStyle name="Komma 2 4 3 2 2" xfId="551"/>
    <cellStyle name="Komma 2 4 3 2 3" xfId="795"/>
    <cellStyle name="Komma 2 4 3 2 4" xfId="1038"/>
    <cellStyle name="Komma 2 4 3 3" xfId="430"/>
    <cellStyle name="Komma 2 4 3 4" xfId="674"/>
    <cellStyle name="Komma 2 4 3 5" xfId="917"/>
    <cellStyle name="Komma 2 4 4" xfId="254"/>
    <cellStyle name="Komma 2 4 4 2" xfId="511"/>
    <cellStyle name="Komma 2 4 4 3" xfId="755"/>
    <cellStyle name="Komma 2 4 4 4" xfId="998"/>
    <cellStyle name="Komma 2 4 5" xfId="387"/>
    <cellStyle name="Komma 2 4 6" xfId="633"/>
    <cellStyle name="Komma 2 4 7" xfId="876"/>
    <cellStyle name="Komma 2 5" xfId="94"/>
    <cellStyle name="Komma 2 5 2" xfId="215"/>
    <cellStyle name="Komma 2 5 2 2" xfId="336"/>
    <cellStyle name="Komma 2 5 2 2 2" xfId="593"/>
    <cellStyle name="Komma 2 5 2 2 3" xfId="837"/>
    <cellStyle name="Komma 2 5 2 2 4" xfId="1080"/>
    <cellStyle name="Komma 2 5 2 3" xfId="472"/>
    <cellStyle name="Komma 2 5 2 4" xfId="716"/>
    <cellStyle name="Komma 2 5 2 5" xfId="959"/>
    <cellStyle name="Komma 2 5 3" xfId="174"/>
    <cellStyle name="Komma 2 5 3 2" xfId="295"/>
    <cellStyle name="Komma 2 5 3 2 2" xfId="552"/>
    <cellStyle name="Komma 2 5 3 2 3" xfId="796"/>
    <cellStyle name="Komma 2 5 3 2 4" xfId="1039"/>
    <cellStyle name="Komma 2 5 3 3" xfId="431"/>
    <cellStyle name="Komma 2 5 3 4" xfId="675"/>
    <cellStyle name="Komma 2 5 3 5" xfId="918"/>
    <cellStyle name="Komma 2 5 4" xfId="255"/>
    <cellStyle name="Komma 2 5 4 2" xfId="512"/>
    <cellStyle name="Komma 2 5 4 3" xfId="756"/>
    <cellStyle name="Komma 2 5 4 4" xfId="999"/>
    <cellStyle name="Komma 2 5 5" xfId="388"/>
    <cellStyle name="Komma 2 5 6" xfId="634"/>
    <cellStyle name="Komma 2 5 7" xfId="877"/>
    <cellStyle name="Komma 2 6" xfId="209"/>
    <cellStyle name="Komma 2 6 2" xfId="330"/>
    <cellStyle name="Komma 2 6 2 2" xfId="587"/>
    <cellStyle name="Komma 2 6 2 3" xfId="831"/>
    <cellStyle name="Komma 2 6 2 4" xfId="1074"/>
    <cellStyle name="Komma 2 6 3" xfId="466"/>
    <cellStyle name="Komma 2 6 4" xfId="710"/>
    <cellStyle name="Komma 2 6 5" xfId="953"/>
    <cellStyle name="Komma 2 7" xfId="168"/>
    <cellStyle name="Komma 2 7 2" xfId="289"/>
    <cellStyle name="Komma 2 7 2 2" xfId="546"/>
    <cellStyle name="Komma 2 7 2 3" xfId="790"/>
    <cellStyle name="Komma 2 7 2 4" xfId="1033"/>
    <cellStyle name="Komma 2 7 3" xfId="425"/>
    <cellStyle name="Komma 2 7 4" xfId="669"/>
    <cellStyle name="Komma 2 7 5" xfId="912"/>
    <cellStyle name="Komma 2 8" xfId="249"/>
    <cellStyle name="Komma 2 8 2" xfId="506"/>
    <cellStyle name="Komma 2 8 3" xfId="750"/>
    <cellStyle name="Komma 2 8 4" xfId="993"/>
    <cellStyle name="Komma 2 9" xfId="382"/>
    <cellStyle name="Komma 3" xfId="95"/>
    <cellStyle name="Komma 3 2" xfId="389"/>
    <cellStyle name="Komma 3 3" xfId="635"/>
    <cellStyle name="Komma 3 4" xfId="878"/>
    <cellStyle name="Link" xfId="86" builtinId="8"/>
    <cellStyle name="Notiz" xfId="96"/>
    <cellStyle name="Notiz 2" xfId="97"/>
    <cellStyle name="Notiz 2 2" xfId="391"/>
    <cellStyle name="Notiz 3" xfId="390"/>
    <cellStyle name="Prozent 2" xfId="98"/>
    <cellStyle name="Prozent 2 10" xfId="636"/>
    <cellStyle name="Prozent 2 11" xfId="879"/>
    <cellStyle name="Prozent 2 2" xfId="99"/>
    <cellStyle name="Prozent 2 2 2" xfId="100"/>
    <cellStyle name="Prozent 2 2 2 2" xfId="218"/>
    <cellStyle name="Prozent 2 2 2 2 2" xfId="339"/>
    <cellStyle name="Prozent 2 2 2 2 2 2" xfId="596"/>
    <cellStyle name="Prozent 2 2 2 2 2 3" xfId="840"/>
    <cellStyle name="Prozent 2 2 2 2 2 4" xfId="1083"/>
    <cellStyle name="Prozent 2 2 2 2 3" xfId="475"/>
    <cellStyle name="Prozent 2 2 2 2 4" xfId="719"/>
    <cellStyle name="Prozent 2 2 2 2 5" xfId="962"/>
    <cellStyle name="Prozent 2 2 2 3" xfId="177"/>
    <cellStyle name="Prozent 2 2 2 3 2" xfId="298"/>
    <cellStyle name="Prozent 2 2 2 3 2 2" xfId="555"/>
    <cellStyle name="Prozent 2 2 2 3 2 3" xfId="799"/>
    <cellStyle name="Prozent 2 2 2 3 2 4" xfId="1042"/>
    <cellStyle name="Prozent 2 2 2 3 3" xfId="434"/>
    <cellStyle name="Prozent 2 2 2 3 4" xfId="678"/>
    <cellStyle name="Prozent 2 2 2 3 5" xfId="921"/>
    <cellStyle name="Prozent 2 2 2 4" xfId="258"/>
    <cellStyle name="Prozent 2 2 2 4 2" xfId="515"/>
    <cellStyle name="Prozent 2 2 2 4 3" xfId="759"/>
    <cellStyle name="Prozent 2 2 2 4 4" xfId="1002"/>
    <cellStyle name="Prozent 2 2 2 5" xfId="394"/>
    <cellStyle name="Prozent 2 2 2 6" xfId="638"/>
    <cellStyle name="Prozent 2 2 2 7" xfId="881"/>
    <cellStyle name="Prozent 2 2 3" xfId="217"/>
    <cellStyle name="Prozent 2 2 3 2" xfId="338"/>
    <cellStyle name="Prozent 2 2 3 2 2" xfId="595"/>
    <cellStyle name="Prozent 2 2 3 2 3" xfId="839"/>
    <cellStyle name="Prozent 2 2 3 2 4" xfId="1082"/>
    <cellStyle name="Prozent 2 2 3 3" xfId="474"/>
    <cellStyle name="Prozent 2 2 3 4" xfId="718"/>
    <cellStyle name="Prozent 2 2 3 5" xfId="961"/>
    <cellStyle name="Prozent 2 2 4" xfId="176"/>
    <cellStyle name="Prozent 2 2 4 2" xfId="297"/>
    <cellStyle name="Prozent 2 2 4 2 2" xfId="554"/>
    <cellStyle name="Prozent 2 2 4 2 3" xfId="798"/>
    <cellStyle name="Prozent 2 2 4 2 4" xfId="1041"/>
    <cellStyle name="Prozent 2 2 4 3" xfId="433"/>
    <cellStyle name="Prozent 2 2 4 4" xfId="677"/>
    <cellStyle name="Prozent 2 2 4 5" xfId="920"/>
    <cellStyle name="Prozent 2 2 5" xfId="257"/>
    <cellStyle name="Prozent 2 2 5 2" xfId="514"/>
    <cellStyle name="Prozent 2 2 5 3" xfId="758"/>
    <cellStyle name="Prozent 2 2 5 4" xfId="1001"/>
    <cellStyle name="Prozent 2 2 6" xfId="393"/>
    <cellStyle name="Prozent 2 2 7" xfId="637"/>
    <cellStyle name="Prozent 2 2 8" xfId="880"/>
    <cellStyle name="Prozent 2 3" xfId="101"/>
    <cellStyle name="Prozent 2 3 2" xfId="102"/>
    <cellStyle name="Prozent 2 3 2 2" xfId="220"/>
    <cellStyle name="Prozent 2 3 2 2 2" xfId="341"/>
    <cellStyle name="Prozent 2 3 2 2 2 2" xfId="598"/>
    <cellStyle name="Prozent 2 3 2 2 2 3" xfId="842"/>
    <cellStyle name="Prozent 2 3 2 2 2 4" xfId="1085"/>
    <cellStyle name="Prozent 2 3 2 2 3" xfId="477"/>
    <cellStyle name="Prozent 2 3 2 2 4" xfId="721"/>
    <cellStyle name="Prozent 2 3 2 2 5" xfId="964"/>
    <cellStyle name="Prozent 2 3 2 3" xfId="179"/>
    <cellStyle name="Prozent 2 3 2 3 2" xfId="300"/>
    <cellStyle name="Prozent 2 3 2 3 2 2" xfId="557"/>
    <cellStyle name="Prozent 2 3 2 3 2 3" xfId="801"/>
    <cellStyle name="Prozent 2 3 2 3 2 4" xfId="1044"/>
    <cellStyle name="Prozent 2 3 2 3 3" xfId="436"/>
    <cellStyle name="Prozent 2 3 2 3 4" xfId="680"/>
    <cellStyle name="Prozent 2 3 2 3 5" xfId="923"/>
    <cellStyle name="Prozent 2 3 2 4" xfId="260"/>
    <cellStyle name="Prozent 2 3 2 4 2" xfId="517"/>
    <cellStyle name="Prozent 2 3 2 4 3" xfId="761"/>
    <cellStyle name="Prozent 2 3 2 4 4" xfId="1004"/>
    <cellStyle name="Prozent 2 3 2 5" xfId="396"/>
    <cellStyle name="Prozent 2 3 2 6" xfId="640"/>
    <cellStyle name="Prozent 2 3 2 7" xfId="883"/>
    <cellStyle name="Prozent 2 3 3" xfId="219"/>
    <cellStyle name="Prozent 2 3 3 2" xfId="340"/>
    <cellStyle name="Prozent 2 3 3 2 2" xfId="597"/>
    <cellStyle name="Prozent 2 3 3 2 3" xfId="841"/>
    <cellStyle name="Prozent 2 3 3 2 4" xfId="1084"/>
    <cellStyle name="Prozent 2 3 3 3" xfId="476"/>
    <cellStyle name="Prozent 2 3 3 4" xfId="720"/>
    <cellStyle name="Prozent 2 3 3 5" xfId="963"/>
    <cellStyle name="Prozent 2 3 4" xfId="178"/>
    <cellStyle name="Prozent 2 3 4 2" xfId="299"/>
    <cellStyle name="Prozent 2 3 4 2 2" xfId="556"/>
    <cellStyle name="Prozent 2 3 4 2 3" xfId="800"/>
    <cellStyle name="Prozent 2 3 4 2 4" xfId="1043"/>
    <cellStyle name="Prozent 2 3 4 3" xfId="435"/>
    <cellStyle name="Prozent 2 3 4 4" xfId="679"/>
    <cellStyle name="Prozent 2 3 4 5" xfId="922"/>
    <cellStyle name="Prozent 2 3 5" xfId="259"/>
    <cellStyle name="Prozent 2 3 5 2" xfId="516"/>
    <cellStyle name="Prozent 2 3 5 3" xfId="760"/>
    <cellStyle name="Prozent 2 3 5 4" xfId="1003"/>
    <cellStyle name="Prozent 2 3 6" xfId="395"/>
    <cellStyle name="Prozent 2 3 7" xfId="639"/>
    <cellStyle name="Prozent 2 3 8" xfId="882"/>
    <cellStyle name="Prozent 2 4" xfId="103"/>
    <cellStyle name="Prozent 2 4 2" xfId="221"/>
    <cellStyle name="Prozent 2 4 2 2" xfId="342"/>
    <cellStyle name="Prozent 2 4 2 2 2" xfId="599"/>
    <cellStyle name="Prozent 2 4 2 2 3" xfId="843"/>
    <cellStyle name="Prozent 2 4 2 2 4" xfId="1086"/>
    <cellStyle name="Prozent 2 4 2 3" xfId="478"/>
    <cellStyle name="Prozent 2 4 2 4" xfId="722"/>
    <cellStyle name="Prozent 2 4 2 5" xfId="965"/>
    <cellStyle name="Prozent 2 4 3" xfId="180"/>
    <cellStyle name="Prozent 2 4 3 2" xfId="301"/>
    <cellStyle name="Prozent 2 4 3 2 2" xfId="558"/>
    <cellStyle name="Prozent 2 4 3 2 3" xfId="802"/>
    <cellStyle name="Prozent 2 4 3 2 4" xfId="1045"/>
    <cellStyle name="Prozent 2 4 3 3" xfId="437"/>
    <cellStyle name="Prozent 2 4 3 4" xfId="681"/>
    <cellStyle name="Prozent 2 4 3 5" xfId="924"/>
    <cellStyle name="Prozent 2 4 4" xfId="261"/>
    <cellStyle name="Prozent 2 4 4 2" xfId="518"/>
    <cellStyle name="Prozent 2 4 4 3" xfId="762"/>
    <cellStyle name="Prozent 2 4 4 4" xfId="1005"/>
    <cellStyle name="Prozent 2 4 5" xfId="397"/>
    <cellStyle name="Prozent 2 4 6" xfId="641"/>
    <cellStyle name="Prozent 2 4 7" xfId="884"/>
    <cellStyle name="Prozent 2 5" xfId="104"/>
    <cellStyle name="Prozent 2 5 2" xfId="222"/>
    <cellStyle name="Prozent 2 5 2 2" xfId="343"/>
    <cellStyle name="Prozent 2 5 2 2 2" xfId="600"/>
    <cellStyle name="Prozent 2 5 2 2 3" xfId="844"/>
    <cellStyle name="Prozent 2 5 2 2 4" xfId="1087"/>
    <cellStyle name="Prozent 2 5 2 3" xfId="479"/>
    <cellStyle name="Prozent 2 5 2 4" xfId="723"/>
    <cellStyle name="Prozent 2 5 2 5" xfId="966"/>
    <cellStyle name="Prozent 2 5 3" xfId="181"/>
    <cellStyle name="Prozent 2 5 3 2" xfId="302"/>
    <cellStyle name="Prozent 2 5 3 2 2" xfId="559"/>
    <cellStyle name="Prozent 2 5 3 2 3" xfId="803"/>
    <cellStyle name="Prozent 2 5 3 2 4" xfId="1046"/>
    <cellStyle name="Prozent 2 5 3 3" xfId="438"/>
    <cellStyle name="Prozent 2 5 3 4" xfId="682"/>
    <cellStyle name="Prozent 2 5 3 5" xfId="925"/>
    <cellStyle name="Prozent 2 5 4" xfId="262"/>
    <cellStyle name="Prozent 2 5 4 2" xfId="519"/>
    <cellStyle name="Prozent 2 5 4 3" xfId="763"/>
    <cellStyle name="Prozent 2 5 4 4" xfId="1006"/>
    <cellStyle name="Prozent 2 5 5" xfId="398"/>
    <cellStyle name="Prozent 2 5 6" xfId="642"/>
    <cellStyle name="Prozent 2 5 7" xfId="885"/>
    <cellStyle name="Prozent 2 6" xfId="216"/>
    <cellStyle name="Prozent 2 6 2" xfId="337"/>
    <cellStyle name="Prozent 2 6 2 2" xfId="594"/>
    <cellStyle name="Prozent 2 6 2 3" xfId="838"/>
    <cellStyle name="Prozent 2 6 2 4" xfId="1081"/>
    <cellStyle name="Prozent 2 6 3" xfId="473"/>
    <cellStyle name="Prozent 2 6 4" xfId="717"/>
    <cellStyle name="Prozent 2 6 5" xfId="960"/>
    <cellStyle name="Prozent 2 7" xfId="175"/>
    <cellStyle name="Prozent 2 7 2" xfId="296"/>
    <cellStyle name="Prozent 2 7 2 2" xfId="553"/>
    <cellStyle name="Prozent 2 7 2 3" xfId="797"/>
    <cellStyle name="Prozent 2 7 2 4" xfId="1040"/>
    <cellStyle name="Prozent 2 7 3" xfId="432"/>
    <cellStyle name="Prozent 2 7 4" xfId="676"/>
    <cellStyle name="Prozent 2 7 5" xfId="919"/>
    <cellStyle name="Prozent 2 8" xfId="256"/>
    <cellStyle name="Prozent 2 8 2" xfId="513"/>
    <cellStyle name="Prozent 2 8 3" xfId="757"/>
    <cellStyle name="Prozent 2 8 4" xfId="1000"/>
    <cellStyle name="Prozent 2 9" xfId="392"/>
    <cellStyle name="Prozent 3" xfId="105"/>
    <cellStyle name="Schlecht" xfId="106"/>
    <cellStyle name="Schlecht 2" xfId="107"/>
    <cellStyle name="Standard" xfId="0" builtinId="0"/>
    <cellStyle name="Standard 2" xfId="108"/>
    <cellStyle name="Standard 2 2" xfId="1111"/>
    <cellStyle name="Standard 3" xfId="109"/>
    <cellStyle name="Standard 3 10" xfId="365"/>
    <cellStyle name="Standard 3 10 3" xfId="1109"/>
    <cellStyle name="Standard 3 11" xfId="399"/>
    <cellStyle name="Standard 3 12" xfId="643"/>
    <cellStyle name="Standard 3 13" xfId="886"/>
    <cellStyle name="Standard 3 2" xfId="110"/>
    <cellStyle name="Standard 3 2 10" xfId="644"/>
    <cellStyle name="Standard 3 2 11" xfId="887"/>
    <cellStyle name="Standard 3 2 2" xfId="111"/>
    <cellStyle name="Standard 3 2 2 2" xfId="112"/>
    <cellStyle name="Standard 3 2 2 2 2" xfId="226"/>
    <cellStyle name="Standard 3 2 2 2 2 2" xfId="347"/>
    <cellStyle name="Standard 3 2 2 2 2 2 2" xfId="604"/>
    <cellStyle name="Standard 3 2 2 2 2 2 3" xfId="848"/>
    <cellStyle name="Standard 3 2 2 2 2 2 4" xfId="1091"/>
    <cellStyle name="Standard 3 2 2 2 2 3" xfId="366"/>
    <cellStyle name="Standard 3 2 2 2 2 3 3" xfId="1110"/>
    <cellStyle name="Standard 3 2 2 2 2 4" xfId="483"/>
    <cellStyle name="Standard 3 2 2 2 2 5" xfId="727"/>
    <cellStyle name="Standard 3 2 2 2 2 6" xfId="970"/>
    <cellStyle name="Standard 3 2 2 2 3" xfId="185"/>
    <cellStyle name="Standard 3 2 2 2 3 2" xfId="306"/>
    <cellStyle name="Standard 3 2 2 2 3 2 2" xfId="563"/>
    <cellStyle name="Standard 3 2 2 2 3 2 3" xfId="807"/>
    <cellStyle name="Standard 3 2 2 2 3 2 4" xfId="1050"/>
    <cellStyle name="Standard 3 2 2 2 3 3" xfId="442"/>
    <cellStyle name="Standard 3 2 2 2 3 4" xfId="686"/>
    <cellStyle name="Standard 3 2 2 2 3 5" xfId="929"/>
    <cellStyle name="Standard 3 2 2 2 4" xfId="266"/>
    <cellStyle name="Standard 3 2 2 2 4 2" xfId="523"/>
    <cellStyle name="Standard 3 2 2 2 4 3" xfId="767"/>
    <cellStyle name="Standard 3 2 2 2 4 4" xfId="1010"/>
    <cellStyle name="Standard 3 2 2 2 5" xfId="402"/>
    <cellStyle name="Standard 3 2 2 2 6" xfId="646"/>
    <cellStyle name="Standard 3 2 2 2 7" xfId="889"/>
    <cellStyle name="Standard 3 2 2 3" xfId="225"/>
    <cellStyle name="Standard 3 2 2 3 2" xfId="346"/>
    <cellStyle name="Standard 3 2 2 3 2 2" xfId="603"/>
    <cellStyle name="Standard 3 2 2 3 2 3" xfId="847"/>
    <cellStyle name="Standard 3 2 2 3 2 4" xfId="1090"/>
    <cellStyle name="Standard 3 2 2 3 3" xfId="482"/>
    <cellStyle name="Standard 3 2 2 3 4" xfId="726"/>
    <cellStyle name="Standard 3 2 2 3 5" xfId="969"/>
    <cellStyle name="Standard 3 2 2 4" xfId="184"/>
    <cellStyle name="Standard 3 2 2 4 2" xfId="305"/>
    <cellStyle name="Standard 3 2 2 4 2 2" xfId="562"/>
    <cellStyle name="Standard 3 2 2 4 2 3" xfId="806"/>
    <cellStyle name="Standard 3 2 2 4 2 4" xfId="1049"/>
    <cellStyle name="Standard 3 2 2 4 3" xfId="441"/>
    <cellStyle name="Standard 3 2 2 4 4" xfId="685"/>
    <cellStyle name="Standard 3 2 2 4 5" xfId="928"/>
    <cellStyle name="Standard 3 2 2 5" xfId="265"/>
    <cellStyle name="Standard 3 2 2 5 2" xfId="522"/>
    <cellStyle name="Standard 3 2 2 5 3" xfId="766"/>
    <cellStyle name="Standard 3 2 2 5 4" xfId="1009"/>
    <cellStyle name="Standard 3 2 2 6" xfId="401"/>
    <cellStyle name="Standard 3 2 2 7" xfId="645"/>
    <cellStyle name="Standard 3 2 2 8" xfId="888"/>
    <cellStyle name="Standard 3 2 3" xfId="113"/>
    <cellStyle name="Standard 3 2 3 2" xfId="114"/>
    <cellStyle name="Standard 3 2 3 2 2" xfId="228"/>
    <cellStyle name="Standard 3 2 3 2 2 2" xfId="349"/>
    <cellStyle name="Standard 3 2 3 2 2 2 2" xfId="606"/>
    <cellStyle name="Standard 3 2 3 2 2 2 3" xfId="850"/>
    <cellStyle name="Standard 3 2 3 2 2 2 4" xfId="1093"/>
    <cellStyle name="Standard 3 2 3 2 2 3" xfId="485"/>
    <cellStyle name="Standard 3 2 3 2 2 4" xfId="729"/>
    <cellStyle name="Standard 3 2 3 2 2 5" xfId="972"/>
    <cellStyle name="Standard 3 2 3 2 3" xfId="187"/>
    <cellStyle name="Standard 3 2 3 2 3 2" xfId="308"/>
    <cellStyle name="Standard 3 2 3 2 3 2 2" xfId="565"/>
    <cellStyle name="Standard 3 2 3 2 3 2 3" xfId="809"/>
    <cellStyle name="Standard 3 2 3 2 3 2 4" xfId="1052"/>
    <cellStyle name="Standard 3 2 3 2 3 3" xfId="444"/>
    <cellStyle name="Standard 3 2 3 2 3 4" xfId="688"/>
    <cellStyle name="Standard 3 2 3 2 3 5" xfId="931"/>
    <cellStyle name="Standard 3 2 3 2 4" xfId="268"/>
    <cellStyle name="Standard 3 2 3 2 4 2" xfId="525"/>
    <cellStyle name="Standard 3 2 3 2 4 3" xfId="769"/>
    <cellStyle name="Standard 3 2 3 2 4 4" xfId="1012"/>
    <cellStyle name="Standard 3 2 3 2 5" xfId="404"/>
    <cellStyle name="Standard 3 2 3 2 6" xfId="648"/>
    <cellStyle name="Standard 3 2 3 2 7" xfId="891"/>
    <cellStyle name="Standard 3 2 3 3" xfId="227"/>
    <cellStyle name="Standard 3 2 3 3 2" xfId="348"/>
    <cellStyle name="Standard 3 2 3 3 2 2" xfId="605"/>
    <cellStyle name="Standard 3 2 3 3 2 3" xfId="849"/>
    <cellStyle name="Standard 3 2 3 3 2 4" xfId="1092"/>
    <cellStyle name="Standard 3 2 3 3 3" xfId="484"/>
    <cellStyle name="Standard 3 2 3 3 4" xfId="728"/>
    <cellStyle name="Standard 3 2 3 3 5" xfId="971"/>
    <cellStyle name="Standard 3 2 3 4" xfId="186"/>
    <cellStyle name="Standard 3 2 3 4 2" xfId="307"/>
    <cellStyle name="Standard 3 2 3 4 2 2" xfId="564"/>
    <cellStyle name="Standard 3 2 3 4 2 3" xfId="808"/>
    <cellStyle name="Standard 3 2 3 4 2 4" xfId="1051"/>
    <cellStyle name="Standard 3 2 3 4 3" xfId="443"/>
    <cellStyle name="Standard 3 2 3 4 4" xfId="687"/>
    <cellStyle name="Standard 3 2 3 4 5" xfId="930"/>
    <cellStyle name="Standard 3 2 3 5" xfId="267"/>
    <cellStyle name="Standard 3 2 3 5 2" xfId="524"/>
    <cellStyle name="Standard 3 2 3 5 3" xfId="768"/>
    <cellStyle name="Standard 3 2 3 5 4" xfId="1011"/>
    <cellStyle name="Standard 3 2 3 6" xfId="403"/>
    <cellStyle name="Standard 3 2 3 7" xfId="647"/>
    <cellStyle name="Standard 3 2 3 8" xfId="890"/>
    <cellStyle name="Standard 3 2 4" xfId="115"/>
    <cellStyle name="Standard 3 2 4 2" xfId="229"/>
    <cellStyle name="Standard 3 2 4 2 2" xfId="350"/>
    <cellStyle name="Standard 3 2 4 2 2 2" xfId="607"/>
    <cellStyle name="Standard 3 2 4 2 2 3" xfId="851"/>
    <cellStyle name="Standard 3 2 4 2 2 4" xfId="1094"/>
    <cellStyle name="Standard 3 2 4 2 3" xfId="486"/>
    <cellStyle name="Standard 3 2 4 2 4" xfId="730"/>
    <cellStyle name="Standard 3 2 4 2 5" xfId="973"/>
    <cellStyle name="Standard 3 2 4 3" xfId="188"/>
    <cellStyle name="Standard 3 2 4 3 2" xfId="309"/>
    <cellStyle name="Standard 3 2 4 3 2 2" xfId="566"/>
    <cellStyle name="Standard 3 2 4 3 2 3" xfId="810"/>
    <cellStyle name="Standard 3 2 4 3 2 4" xfId="1053"/>
    <cellStyle name="Standard 3 2 4 3 3" xfId="445"/>
    <cellStyle name="Standard 3 2 4 3 4" xfId="689"/>
    <cellStyle name="Standard 3 2 4 3 5" xfId="932"/>
    <cellStyle name="Standard 3 2 4 4" xfId="269"/>
    <cellStyle name="Standard 3 2 4 4 2" xfId="526"/>
    <cellStyle name="Standard 3 2 4 4 3" xfId="770"/>
    <cellStyle name="Standard 3 2 4 4 4" xfId="1013"/>
    <cellStyle name="Standard 3 2 4 5" xfId="405"/>
    <cellStyle name="Standard 3 2 4 6" xfId="649"/>
    <cellStyle name="Standard 3 2 4 7" xfId="892"/>
    <cellStyle name="Standard 3 2 5" xfId="116"/>
    <cellStyle name="Standard 3 2 5 2" xfId="230"/>
    <cellStyle name="Standard 3 2 5 2 2" xfId="351"/>
    <cellStyle name="Standard 3 2 5 2 2 2" xfId="608"/>
    <cellStyle name="Standard 3 2 5 2 2 3" xfId="852"/>
    <cellStyle name="Standard 3 2 5 2 2 4" xfId="1095"/>
    <cellStyle name="Standard 3 2 5 2 3" xfId="487"/>
    <cellStyle name="Standard 3 2 5 2 4" xfId="731"/>
    <cellStyle name="Standard 3 2 5 2 5" xfId="974"/>
    <cellStyle name="Standard 3 2 5 3" xfId="189"/>
    <cellStyle name="Standard 3 2 5 3 2" xfId="310"/>
    <cellStyle name="Standard 3 2 5 3 2 2" xfId="567"/>
    <cellStyle name="Standard 3 2 5 3 2 3" xfId="811"/>
    <cellStyle name="Standard 3 2 5 3 2 4" xfId="1054"/>
    <cellStyle name="Standard 3 2 5 3 3" xfId="446"/>
    <cellStyle name="Standard 3 2 5 3 4" xfId="690"/>
    <cellStyle name="Standard 3 2 5 3 5" xfId="933"/>
    <cellStyle name="Standard 3 2 5 4" xfId="270"/>
    <cellStyle name="Standard 3 2 5 4 2" xfId="527"/>
    <cellStyle name="Standard 3 2 5 4 3" xfId="771"/>
    <cellStyle name="Standard 3 2 5 4 4" xfId="1014"/>
    <cellStyle name="Standard 3 2 5 5" xfId="406"/>
    <cellStyle name="Standard 3 2 5 6" xfId="650"/>
    <cellStyle name="Standard 3 2 5 7" xfId="893"/>
    <cellStyle name="Standard 3 2 6" xfId="224"/>
    <cellStyle name="Standard 3 2 6 2" xfId="345"/>
    <cellStyle name="Standard 3 2 6 2 2" xfId="602"/>
    <cellStyle name="Standard 3 2 6 2 3" xfId="846"/>
    <cellStyle name="Standard 3 2 6 2 4" xfId="1089"/>
    <cellStyle name="Standard 3 2 6 3" xfId="481"/>
    <cellStyle name="Standard 3 2 6 4" xfId="725"/>
    <cellStyle name="Standard 3 2 6 5" xfId="968"/>
    <cellStyle name="Standard 3 2 7" xfId="183"/>
    <cellStyle name="Standard 3 2 7 2" xfId="304"/>
    <cellStyle name="Standard 3 2 7 2 2" xfId="561"/>
    <cellStyle name="Standard 3 2 7 2 3" xfId="805"/>
    <cellStyle name="Standard 3 2 7 2 4" xfId="1048"/>
    <cellStyle name="Standard 3 2 7 3" xfId="440"/>
    <cellStyle name="Standard 3 2 7 4" xfId="684"/>
    <cellStyle name="Standard 3 2 7 5" xfId="927"/>
    <cellStyle name="Standard 3 2 8" xfId="264"/>
    <cellStyle name="Standard 3 2 8 2" xfId="521"/>
    <cellStyle name="Standard 3 2 8 3" xfId="765"/>
    <cellStyle name="Standard 3 2 8 4" xfId="1008"/>
    <cellStyle name="Standard 3 2 9" xfId="400"/>
    <cellStyle name="Standard 3 3" xfId="117"/>
    <cellStyle name="Standard 3 3 2" xfId="118"/>
    <cellStyle name="Standard 3 3 2 2" xfId="232"/>
    <cellStyle name="Standard 3 3 2 2 2" xfId="353"/>
    <cellStyle name="Standard 3 3 2 2 2 2" xfId="610"/>
    <cellStyle name="Standard 3 3 2 2 2 3" xfId="854"/>
    <cellStyle name="Standard 3 3 2 2 2 4" xfId="1097"/>
    <cellStyle name="Standard 3 3 2 2 3" xfId="489"/>
    <cellStyle name="Standard 3 3 2 2 4" xfId="733"/>
    <cellStyle name="Standard 3 3 2 2 5" xfId="976"/>
    <cellStyle name="Standard 3 3 2 3" xfId="191"/>
    <cellStyle name="Standard 3 3 2 3 2" xfId="312"/>
    <cellStyle name="Standard 3 3 2 3 2 2" xfId="569"/>
    <cellStyle name="Standard 3 3 2 3 2 3" xfId="813"/>
    <cellStyle name="Standard 3 3 2 3 2 4" xfId="1056"/>
    <cellStyle name="Standard 3 3 2 3 3" xfId="448"/>
    <cellStyle name="Standard 3 3 2 3 4" xfId="692"/>
    <cellStyle name="Standard 3 3 2 3 5" xfId="935"/>
    <cellStyle name="Standard 3 3 2 4" xfId="272"/>
    <cellStyle name="Standard 3 3 2 4 2" xfId="529"/>
    <cellStyle name="Standard 3 3 2 4 3" xfId="773"/>
    <cellStyle name="Standard 3 3 2 4 4" xfId="1016"/>
    <cellStyle name="Standard 3 3 2 5" xfId="408"/>
    <cellStyle name="Standard 3 3 2 6" xfId="652"/>
    <cellStyle name="Standard 3 3 2 7" xfId="895"/>
    <cellStyle name="Standard 3 3 3" xfId="231"/>
    <cellStyle name="Standard 3 3 3 2" xfId="352"/>
    <cellStyle name="Standard 3 3 3 2 2" xfId="609"/>
    <cellStyle name="Standard 3 3 3 2 3" xfId="853"/>
    <cellStyle name="Standard 3 3 3 2 4" xfId="1096"/>
    <cellStyle name="Standard 3 3 3 3" xfId="488"/>
    <cellStyle name="Standard 3 3 3 4" xfId="732"/>
    <cellStyle name="Standard 3 3 3 5" xfId="975"/>
    <cellStyle name="Standard 3 3 4" xfId="190"/>
    <cellStyle name="Standard 3 3 4 2" xfId="311"/>
    <cellStyle name="Standard 3 3 4 2 2" xfId="568"/>
    <cellStyle name="Standard 3 3 4 2 3" xfId="812"/>
    <cellStyle name="Standard 3 3 4 2 4" xfId="1055"/>
    <cellStyle name="Standard 3 3 4 3" xfId="447"/>
    <cellStyle name="Standard 3 3 4 4" xfId="691"/>
    <cellStyle name="Standard 3 3 4 5" xfId="934"/>
    <cellStyle name="Standard 3 3 5" xfId="271"/>
    <cellStyle name="Standard 3 3 5 2" xfId="528"/>
    <cellStyle name="Standard 3 3 5 3" xfId="772"/>
    <cellStyle name="Standard 3 3 5 4" xfId="1015"/>
    <cellStyle name="Standard 3 3 6" xfId="407"/>
    <cellStyle name="Standard 3 3 7" xfId="651"/>
    <cellStyle name="Standard 3 3 8" xfId="894"/>
    <cellStyle name="Standard 3 4" xfId="119"/>
    <cellStyle name="Standard 3 4 2" xfId="120"/>
    <cellStyle name="Standard 3 4 2 2" xfId="234"/>
    <cellStyle name="Standard 3 4 2 2 2" xfId="355"/>
    <cellStyle name="Standard 3 4 2 2 2 2" xfId="612"/>
    <cellStyle name="Standard 3 4 2 2 2 3" xfId="856"/>
    <cellStyle name="Standard 3 4 2 2 2 4" xfId="1099"/>
    <cellStyle name="Standard 3 4 2 2 3" xfId="491"/>
    <cellStyle name="Standard 3 4 2 2 4" xfId="735"/>
    <cellStyle name="Standard 3 4 2 2 5" xfId="978"/>
    <cellStyle name="Standard 3 4 2 3" xfId="193"/>
    <cellStyle name="Standard 3 4 2 3 2" xfId="314"/>
    <cellStyle name="Standard 3 4 2 3 2 2" xfId="571"/>
    <cellStyle name="Standard 3 4 2 3 2 3" xfId="815"/>
    <cellStyle name="Standard 3 4 2 3 2 4" xfId="1058"/>
    <cellStyle name="Standard 3 4 2 3 3" xfId="450"/>
    <cellStyle name="Standard 3 4 2 3 4" xfId="694"/>
    <cellStyle name="Standard 3 4 2 3 5" xfId="937"/>
    <cellStyle name="Standard 3 4 2 4" xfId="274"/>
    <cellStyle name="Standard 3 4 2 4 2" xfId="531"/>
    <cellStyle name="Standard 3 4 2 4 3" xfId="775"/>
    <cellStyle name="Standard 3 4 2 4 4" xfId="1018"/>
    <cellStyle name="Standard 3 4 2 5" xfId="410"/>
    <cellStyle name="Standard 3 4 2 6" xfId="654"/>
    <cellStyle name="Standard 3 4 2 7" xfId="897"/>
    <cellStyle name="Standard 3 4 3" xfId="233"/>
    <cellStyle name="Standard 3 4 3 2" xfId="354"/>
    <cellStyle name="Standard 3 4 3 2 2" xfId="611"/>
    <cellStyle name="Standard 3 4 3 2 3" xfId="855"/>
    <cellStyle name="Standard 3 4 3 2 4" xfId="1098"/>
    <cellStyle name="Standard 3 4 3 3" xfId="490"/>
    <cellStyle name="Standard 3 4 3 4" xfId="734"/>
    <cellStyle name="Standard 3 4 3 5" xfId="977"/>
    <cellStyle name="Standard 3 4 4" xfId="192"/>
    <cellStyle name="Standard 3 4 4 2" xfId="313"/>
    <cellStyle name="Standard 3 4 4 2 2" xfId="570"/>
    <cellStyle name="Standard 3 4 4 2 3" xfId="814"/>
    <cellStyle name="Standard 3 4 4 2 4" xfId="1057"/>
    <cellStyle name="Standard 3 4 4 3" xfId="449"/>
    <cellStyle name="Standard 3 4 4 4" xfId="693"/>
    <cellStyle name="Standard 3 4 4 5" xfId="936"/>
    <cellStyle name="Standard 3 4 5" xfId="273"/>
    <cellStyle name="Standard 3 4 5 2" xfId="530"/>
    <cellStyle name="Standard 3 4 5 3" xfId="774"/>
    <cellStyle name="Standard 3 4 5 4" xfId="1017"/>
    <cellStyle name="Standard 3 4 6" xfId="409"/>
    <cellStyle name="Standard 3 4 7" xfId="653"/>
    <cellStyle name="Standard 3 4 8" xfId="896"/>
    <cellStyle name="Standard 3 5" xfId="121"/>
    <cellStyle name="Standard 3 5 2" xfId="235"/>
    <cellStyle name="Standard 3 5 2 2" xfId="356"/>
    <cellStyle name="Standard 3 5 2 2 2" xfId="613"/>
    <cellStyle name="Standard 3 5 2 2 3" xfId="857"/>
    <cellStyle name="Standard 3 5 2 2 4" xfId="1100"/>
    <cellStyle name="Standard 3 5 2 3" xfId="492"/>
    <cellStyle name="Standard 3 5 2 4" xfId="736"/>
    <cellStyle name="Standard 3 5 2 5" xfId="979"/>
    <cellStyle name="Standard 3 5 3" xfId="194"/>
    <cellStyle name="Standard 3 5 3 2" xfId="315"/>
    <cellStyle name="Standard 3 5 3 2 2" xfId="572"/>
    <cellStyle name="Standard 3 5 3 2 3" xfId="816"/>
    <cellStyle name="Standard 3 5 3 2 4" xfId="1059"/>
    <cellStyle name="Standard 3 5 3 3" xfId="451"/>
    <cellStyle name="Standard 3 5 3 4" xfId="695"/>
    <cellStyle name="Standard 3 5 3 5" xfId="938"/>
    <cellStyle name="Standard 3 5 4" xfId="275"/>
    <cellStyle name="Standard 3 5 4 2" xfId="532"/>
    <cellStyle name="Standard 3 5 4 3" xfId="776"/>
    <cellStyle name="Standard 3 5 4 4" xfId="1019"/>
    <cellStyle name="Standard 3 5 5" xfId="411"/>
    <cellStyle name="Standard 3 5 6" xfId="655"/>
    <cellStyle name="Standard 3 5 7" xfId="898"/>
    <cellStyle name="Standard 3 6" xfId="122"/>
    <cellStyle name="Standard 3 6 2" xfId="236"/>
    <cellStyle name="Standard 3 6 2 2" xfId="357"/>
    <cellStyle name="Standard 3 6 2 2 2" xfId="614"/>
    <cellStyle name="Standard 3 6 2 2 3" xfId="858"/>
    <cellStyle name="Standard 3 6 2 2 4" xfId="1101"/>
    <cellStyle name="Standard 3 6 2 3" xfId="493"/>
    <cellStyle name="Standard 3 6 2 4" xfId="737"/>
    <cellStyle name="Standard 3 6 2 5" xfId="980"/>
    <cellStyle name="Standard 3 6 3" xfId="195"/>
    <cellStyle name="Standard 3 6 3 2" xfId="316"/>
    <cellStyle name="Standard 3 6 3 2 2" xfId="573"/>
    <cellStyle name="Standard 3 6 3 2 3" xfId="817"/>
    <cellStyle name="Standard 3 6 3 2 4" xfId="1060"/>
    <cellStyle name="Standard 3 6 3 3" xfId="452"/>
    <cellStyle name="Standard 3 6 3 4" xfId="696"/>
    <cellStyle name="Standard 3 6 3 5" xfId="939"/>
    <cellStyle name="Standard 3 6 4" xfId="276"/>
    <cellStyle name="Standard 3 6 4 2" xfId="533"/>
    <cellStyle name="Standard 3 6 4 3" xfId="777"/>
    <cellStyle name="Standard 3 6 4 4" xfId="1020"/>
    <cellStyle name="Standard 3 6 5" xfId="412"/>
    <cellStyle name="Standard 3 6 6" xfId="656"/>
    <cellStyle name="Standard 3 6 7" xfId="899"/>
    <cellStyle name="Standard 3 7" xfId="223"/>
    <cellStyle name="Standard 3 7 2" xfId="344"/>
    <cellStyle name="Standard 3 7 2 2" xfId="601"/>
    <cellStyle name="Standard 3 7 2 3" xfId="845"/>
    <cellStyle name="Standard 3 7 2 4" xfId="1088"/>
    <cellStyle name="Standard 3 7 3" xfId="480"/>
    <cellStyle name="Standard 3 7 4" xfId="724"/>
    <cellStyle name="Standard 3 7 5" xfId="967"/>
    <cellStyle name="Standard 3 8" xfId="182"/>
    <cellStyle name="Standard 3 8 2" xfId="303"/>
    <cellStyle name="Standard 3 8 2 2" xfId="560"/>
    <cellStyle name="Standard 3 8 2 3" xfId="804"/>
    <cellStyle name="Standard 3 8 2 4" xfId="1047"/>
    <cellStyle name="Standard 3 8 3" xfId="439"/>
    <cellStyle name="Standard 3 8 4" xfId="683"/>
    <cellStyle name="Standard 3 8 5" xfId="926"/>
    <cellStyle name="Standard 3 9" xfId="263"/>
    <cellStyle name="Standard 3 9 2" xfId="520"/>
    <cellStyle name="Standard 3 9 3" xfId="764"/>
    <cellStyle name="Standard 3 9 4" xfId="1007"/>
    <cellStyle name="Standard 4" xfId="123"/>
    <cellStyle name="Standard 4 10" xfId="657"/>
    <cellStyle name="Standard 4 11" xfId="900"/>
    <cellStyle name="Standard 4 2" xfId="124"/>
    <cellStyle name="Standard 4 2 2" xfId="125"/>
    <cellStyle name="Standard 4 2 2 2" xfId="239"/>
    <cellStyle name="Standard 4 2 2 2 2" xfId="360"/>
    <cellStyle name="Standard 4 2 2 2 2 2" xfId="617"/>
    <cellStyle name="Standard 4 2 2 2 2 3" xfId="861"/>
    <cellStyle name="Standard 4 2 2 2 2 4" xfId="1104"/>
    <cellStyle name="Standard 4 2 2 2 3" xfId="496"/>
    <cellStyle name="Standard 4 2 2 2 4" xfId="740"/>
    <cellStyle name="Standard 4 2 2 2 5" xfId="983"/>
    <cellStyle name="Standard 4 2 2 3" xfId="198"/>
    <cellStyle name="Standard 4 2 2 3 2" xfId="319"/>
    <cellStyle name="Standard 4 2 2 3 2 2" xfId="576"/>
    <cellStyle name="Standard 4 2 2 3 2 3" xfId="820"/>
    <cellStyle name="Standard 4 2 2 3 2 4" xfId="1063"/>
    <cellStyle name="Standard 4 2 2 3 3" xfId="455"/>
    <cellStyle name="Standard 4 2 2 3 4" xfId="699"/>
    <cellStyle name="Standard 4 2 2 3 5" xfId="942"/>
    <cellStyle name="Standard 4 2 2 4" xfId="279"/>
    <cellStyle name="Standard 4 2 2 4 2" xfId="536"/>
    <cellStyle name="Standard 4 2 2 4 3" xfId="780"/>
    <cellStyle name="Standard 4 2 2 4 4" xfId="1023"/>
    <cellStyle name="Standard 4 2 2 5" xfId="415"/>
    <cellStyle name="Standard 4 2 2 6" xfId="659"/>
    <cellStyle name="Standard 4 2 2 7" xfId="902"/>
    <cellStyle name="Standard 4 2 3" xfId="238"/>
    <cellStyle name="Standard 4 2 3 2" xfId="359"/>
    <cellStyle name="Standard 4 2 3 2 2" xfId="616"/>
    <cellStyle name="Standard 4 2 3 2 3" xfId="860"/>
    <cellStyle name="Standard 4 2 3 2 4" xfId="1103"/>
    <cellStyle name="Standard 4 2 3 3" xfId="495"/>
    <cellStyle name="Standard 4 2 3 4" xfId="739"/>
    <cellStyle name="Standard 4 2 3 5" xfId="982"/>
    <cellStyle name="Standard 4 2 4" xfId="197"/>
    <cellStyle name="Standard 4 2 4 2" xfId="318"/>
    <cellStyle name="Standard 4 2 4 2 2" xfId="575"/>
    <cellStyle name="Standard 4 2 4 2 3" xfId="819"/>
    <cellStyle name="Standard 4 2 4 2 4" xfId="1062"/>
    <cellStyle name="Standard 4 2 4 3" xfId="454"/>
    <cellStyle name="Standard 4 2 4 4" xfId="698"/>
    <cellStyle name="Standard 4 2 4 5" xfId="941"/>
    <cellStyle name="Standard 4 2 5" xfId="278"/>
    <cellStyle name="Standard 4 2 5 2" xfId="535"/>
    <cellStyle name="Standard 4 2 5 3" xfId="779"/>
    <cellStyle name="Standard 4 2 5 4" xfId="1022"/>
    <cellStyle name="Standard 4 2 6" xfId="414"/>
    <cellStyle name="Standard 4 2 7" xfId="658"/>
    <cellStyle name="Standard 4 2 8" xfId="901"/>
    <cellStyle name="Standard 4 3" xfId="126"/>
    <cellStyle name="Standard 4 3 2" xfId="127"/>
    <cellStyle name="Standard 4 3 2 2" xfId="241"/>
    <cellStyle name="Standard 4 3 2 2 2" xfId="362"/>
    <cellStyle name="Standard 4 3 2 2 2 2" xfId="619"/>
    <cellStyle name="Standard 4 3 2 2 2 3" xfId="863"/>
    <cellStyle name="Standard 4 3 2 2 2 4" xfId="1106"/>
    <cellStyle name="Standard 4 3 2 2 3" xfId="498"/>
    <cellStyle name="Standard 4 3 2 2 4" xfId="742"/>
    <cellStyle name="Standard 4 3 2 2 5" xfId="985"/>
    <cellStyle name="Standard 4 3 2 3" xfId="200"/>
    <cellStyle name="Standard 4 3 2 3 2" xfId="321"/>
    <cellStyle name="Standard 4 3 2 3 2 2" xfId="578"/>
    <cellStyle name="Standard 4 3 2 3 2 3" xfId="822"/>
    <cellStyle name="Standard 4 3 2 3 2 4" xfId="1065"/>
    <cellStyle name="Standard 4 3 2 3 3" xfId="457"/>
    <cellStyle name="Standard 4 3 2 3 4" xfId="701"/>
    <cellStyle name="Standard 4 3 2 3 5" xfId="944"/>
    <cellStyle name="Standard 4 3 2 4" xfId="281"/>
    <cellStyle name="Standard 4 3 2 4 2" xfId="538"/>
    <cellStyle name="Standard 4 3 2 4 3" xfId="782"/>
    <cellStyle name="Standard 4 3 2 4 4" xfId="1025"/>
    <cellStyle name="Standard 4 3 2 5" xfId="417"/>
    <cellStyle name="Standard 4 3 2 6" xfId="661"/>
    <cellStyle name="Standard 4 3 2 7" xfId="904"/>
    <cellStyle name="Standard 4 3 3" xfId="240"/>
    <cellStyle name="Standard 4 3 3 2" xfId="361"/>
    <cellStyle name="Standard 4 3 3 2 2" xfId="618"/>
    <cellStyle name="Standard 4 3 3 2 3" xfId="862"/>
    <cellStyle name="Standard 4 3 3 2 4" xfId="1105"/>
    <cellStyle name="Standard 4 3 3 3" xfId="497"/>
    <cellStyle name="Standard 4 3 3 4" xfId="741"/>
    <cellStyle name="Standard 4 3 3 5" xfId="984"/>
    <cellStyle name="Standard 4 3 4" xfId="199"/>
    <cellStyle name="Standard 4 3 4 2" xfId="320"/>
    <cellStyle name="Standard 4 3 4 2 2" xfId="577"/>
    <cellStyle name="Standard 4 3 4 2 3" xfId="821"/>
    <cellStyle name="Standard 4 3 4 2 4" xfId="1064"/>
    <cellStyle name="Standard 4 3 4 3" xfId="456"/>
    <cellStyle name="Standard 4 3 4 4" xfId="700"/>
    <cellStyle name="Standard 4 3 4 5" xfId="943"/>
    <cellStyle name="Standard 4 3 5" xfId="280"/>
    <cellStyle name="Standard 4 3 5 2" xfId="537"/>
    <cellStyle name="Standard 4 3 5 3" xfId="781"/>
    <cellStyle name="Standard 4 3 5 4" xfId="1024"/>
    <cellStyle name="Standard 4 3 6" xfId="416"/>
    <cellStyle name="Standard 4 3 7" xfId="660"/>
    <cellStyle name="Standard 4 3 8" xfId="903"/>
    <cellStyle name="Standard 4 4" xfId="128"/>
    <cellStyle name="Standard 4 4 2" xfId="242"/>
    <cellStyle name="Standard 4 4 2 2" xfId="363"/>
    <cellStyle name="Standard 4 4 2 2 2" xfId="620"/>
    <cellStyle name="Standard 4 4 2 2 3" xfId="864"/>
    <cellStyle name="Standard 4 4 2 2 4" xfId="1107"/>
    <cellStyle name="Standard 4 4 2 3" xfId="499"/>
    <cellStyle name="Standard 4 4 2 4" xfId="743"/>
    <cellStyle name="Standard 4 4 2 5" xfId="986"/>
    <cellStyle name="Standard 4 4 3" xfId="201"/>
    <cellStyle name="Standard 4 4 3 2" xfId="322"/>
    <cellStyle name="Standard 4 4 3 2 2" xfId="579"/>
    <cellStyle name="Standard 4 4 3 2 3" xfId="823"/>
    <cellStyle name="Standard 4 4 3 2 4" xfId="1066"/>
    <cellStyle name="Standard 4 4 3 3" xfId="458"/>
    <cellStyle name="Standard 4 4 3 4" xfId="702"/>
    <cellStyle name="Standard 4 4 3 5" xfId="945"/>
    <cellStyle name="Standard 4 4 4" xfId="282"/>
    <cellStyle name="Standard 4 4 4 2" xfId="539"/>
    <cellStyle name="Standard 4 4 4 3" xfId="783"/>
    <cellStyle name="Standard 4 4 4 4" xfId="1026"/>
    <cellStyle name="Standard 4 4 5" xfId="418"/>
    <cellStyle name="Standard 4 4 6" xfId="662"/>
    <cellStyle name="Standard 4 4 7" xfId="905"/>
    <cellStyle name="Standard 4 5" xfId="129"/>
    <cellStyle name="Standard 4 5 2" xfId="243"/>
    <cellStyle name="Standard 4 5 2 2" xfId="364"/>
    <cellStyle name="Standard 4 5 2 2 2" xfId="621"/>
    <cellStyle name="Standard 4 5 2 2 3" xfId="865"/>
    <cellStyle name="Standard 4 5 2 2 4" xfId="1108"/>
    <cellStyle name="Standard 4 5 2 3" xfId="500"/>
    <cellStyle name="Standard 4 5 2 4" xfId="744"/>
    <cellStyle name="Standard 4 5 2 5" xfId="987"/>
    <cellStyle name="Standard 4 5 3" xfId="202"/>
    <cellStyle name="Standard 4 5 3 2" xfId="323"/>
    <cellStyle name="Standard 4 5 3 2 2" xfId="580"/>
    <cellStyle name="Standard 4 5 3 2 3" xfId="824"/>
    <cellStyle name="Standard 4 5 3 2 4" xfId="1067"/>
    <cellStyle name="Standard 4 5 3 3" xfId="459"/>
    <cellStyle name="Standard 4 5 3 4" xfId="703"/>
    <cellStyle name="Standard 4 5 3 5" xfId="946"/>
    <cellStyle name="Standard 4 5 4" xfId="283"/>
    <cellStyle name="Standard 4 5 4 2" xfId="540"/>
    <cellStyle name="Standard 4 5 4 3" xfId="784"/>
    <cellStyle name="Standard 4 5 4 4" xfId="1027"/>
    <cellStyle name="Standard 4 5 5" xfId="419"/>
    <cellStyle name="Standard 4 5 6" xfId="663"/>
    <cellStyle name="Standard 4 5 7" xfId="906"/>
    <cellStyle name="Standard 4 6" xfId="237"/>
    <cellStyle name="Standard 4 6 2" xfId="358"/>
    <cellStyle name="Standard 4 6 2 2" xfId="615"/>
    <cellStyle name="Standard 4 6 2 3" xfId="859"/>
    <cellStyle name="Standard 4 6 2 4" xfId="1102"/>
    <cellStyle name="Standard 4 6 3" xfId="494"/>
    <cellStyle name="Standard 4 6 4" xfId="738"/>
    <cellStyle name="Standard 4 6 5" xfId="981"/>
    <cellStyle name="Standard 4 7" xfId="196"/>
    <cellStyle name="Standard 4 7 2" xfId="317"/>
    <cellStyle name="Standard 4 7 2 2" xfId="574"/>
    <cellStyle name="Standard 4 7 2 3" xfId="818"/>
    <cellStyle name="Standard 4 7 2 4" xfId="1061"/>
    <cellStyle name="Standard 4 7 3" xfId="453"/>
    <cellStyle name="Standard 4 7 4" xfId="697"/>
    <cellStyle name="Standard 4 7 5" xfId="940"/>
    <cellStyle name="Standard 4 8" xfId="277"/>
    <cellStyle name="Standard 4 8 2" xfId="534"/>
    <cellStyle name="Standard 4 8 3" xfId="778"/>
    <cellStyle name="Standard 4 8 4" xfId="1021"/>
    <cellStyle name="Standard 4 9" xfId="413"/>
    <cellStyle name="Standard 5" xfId="203"/>
    <cellStyle name="Standard 5 2" xfId="324"/>
    <cellStyle name="Standard 5 2 2" xfId="581"/>
    <cellStyle name="Standard 5 2 3" xfId="825"/>
    <cellStyle name="Standard 5 2 4" xfId="1068"/>
    <cellStyle name="Standard 5 3" xfId="460"/>
    <cellStyle name="Standard 5 4" xfId="704"/>
    <cellStyle name="Standard 5 5" xfId="947"/>
    <cellStyle name="Standard 6" xfId="367"/>
    <cellStyle name="Überschrift" xfId="130"/>
    <cellStyle name="Überschrift 1" xfId="131"/>
    <cellStyle name="Überschrift 1 2" xfId="132"/>
    <cellStyle name="Überschrift 2" xfId="133"/>
    <cellStyle name="Überschrift 2 2" xfId="134"/>
    <cellStyle name="Überschrift 3" xfId="135"/>
    <cellStyle name="Überschrift 3 2" xfId="136"/>
    <cellStyle name="Überschrift 4" xfId="137"/>
    <cellStyle name="Überschrift 4 2" xfId="138"/>
    <cellStyle name="Überschrift 5" xfId="139"/>
    <cellStyle name="Verknüpfte Zelle" xfId="140"/>
    <cellStyle name="Verknüpfte Zelle 2" xfId="141"/>
    <cellStyle name="Warnender Text" xfId="142"/>
    <cellStyle name="Warnender Text 2" xfId="143"/>
    <cellStyle name="Zelle überprüfen" xfId="144"/>
    <cellStyle name="Zelle überprüfen 2" xfId="145"/>
  </cellStyles>
  <dxfs count="21">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Primärenergiebedarf PEB</a:t>
            </a:r>
            <a:r>
              <a:rPr lang="de-DE" b="1">
                <a:latin typeface="Arial" panose="020B0604020202020204" pitchFamily="34" charset="0"/>
                <a:cs typeface="Arial" panose="020B0604020202020204" pitchFamily="34" charset="0"/>
              </a:rPr>
              <a:t> </a:t>
            </a:r>
            <a:r>
              <a:rPr lang="de-DE">
                <a:latin typeface="Arial"/>
                <a:cs typeface="Arial"/>
              </a:rPr>
              <a:t>Neubau</a:t>
            </a:r>
            <a:endParaRPr lang="de-DE"/>
          </a:p>
        </c:rich>
      </c:tx>
      <c:overlay val="0"/>
    </c:title>
    <c:autoTitleDeleted val="0"/>
    <c:plotArea>
      <c:layout/>
      <c:lineChart>
        <c:grouping val="standard"/>
        <c:varyColors val="0"/>
        <c:ser>
          <c:idx val="0"/>
          <c:order val="0"/>
          <c:tx>
            <c:strRef>
              <c:f>'B1 Graphik'!$I$74:$J$74</c:f>
              <c:strCache>
                <c:ptCount val="1"/>
                <c:pt idx="0">
                  <c:v>Primärenergiebedarf</c:v>
                </c:pt>
              </c:strCache>
            </c:strRef>
          </c:tx>
          <c:spPr>
            <a:ln>
              <a:solidFill>
                <a:schemeClr val="accent6">
                  <a:lumMod val="75000"/>
                </a:schemeClr>
              </a:solidFill>
            </a:ln>
          </c:spPr>
          <c:marker>
            <c:symbol val="none"/>
          </c:marker>
          <c:cat>
            <c:numRef>
              <c:f>'B1 Graphik'!$I$76:$I$118</c:f>
              <c:numCache>
                <c:formatCode>0</c:formatCode>
                <c:ptCount val="4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numCache>
            </c:numRef>
          </c:cat>
          <c:val>
            <c:numRef>
              <c:f>'B1 Graphik'!$J$76:$J$118</c:f>
              <c:numCache>
                <c:formatCode>0</c:formatCode>
                <c:ptCount val="43"/>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115</c:v>
                </c:pt>
                <c:pt idx="14">
                  <c:v>110</c:v>
                </c:pt>
                <c:pt idx="15">
                  <c:v>105</c:v>
                </c:pt>
                <c:pt idx="16">
                  <c:v>100</c:v>
                </c:pt>
                <c:pt idx="17">
                  <c:v>95</c:v>
                </c:pt>
                <c:pt idx="18">
                  <c:v>90</c:v>
                </c:pt>
                <c:pt idx="19">
                  <c:v>85</c:v>
                </c:pt>
                <c:pt idx="20">
                  <c:v>80</c:v>
                </c:pt>
                <c:pt idx="21">
                  <c:v>75</c:v>
                </c:pt>
                <c:pt idx="22">
                  <c:v>70</c:v>
                </c:pt>
                <c:pt idx="23">
                  <c:v>65</c:v>
                </c:pt>
                <c:pt idx="24">
                  <c:v>60</c:v>
                </c:pt>
                <c:pt idx="25">
                  <c:v>55</c:v>
                </c:pt>
                <c:pt idx="26">
                  <c:v>50</c:v>
                </c:pt>
                <c:pt idx="27">
                  <c:v>45</c:v>
                </c:pt>
                <c:pt idx="28">
                  <c:v>40</c:v>
                </c:pt>
                <c:pt idx="29">
                  <c:v>35</c:v>
                </c:pt>
                <c:pt idx="30">
                  <c:v>30</c:v>
                </c:pt>
                <c:pt idx="31">
                  <c:v>25</c:v>
                </c:pt>
                <c:pt idx="32">
                  <c:v>20</c:v>
                </c:pt>
                <c:pt idx="33">
                  <c:v>15</c:v>
                </c:pt>
                <c:pt idx="34">
                  <c:v>10</c:v>
                </c:pt>
                <c:pt idx="35">
                  <c:v>5</c:v>
                </c:pt>
                <c:pt idx="36">
                  <c:v>0</c:v>
                </c:pt>
                <c:pt idx="37">
                  <c:v>0</c:v>
                </c:pt>
                <c:pt idx="38">
                  <c:v>0</c:v>
                </c:pt>
                <c:pt idx="39">
                  <c:v>0</c:v>
                </c:pt>
                <c:pt idx="40">
                  <c:v>0</c:v>
                </c:pt>
                <c:pt idx="41">
                  <c:v>0</c:v>
                </c:pt>
                <c:pt idx="42">
                  <c:v>0</c:v>
                </c:pt>
              </c:numCache>
            </c:numRef>
          </c:val>
          <c:smooth val="0"/>
          <c:extLst>
            <c:ext xmlns:c16="http://schemas.microsoft.com/office/drawing/2014/chart" uri="{C3380CC4-5D6E-409C-BE32-E72D297353CC}">
              <c16:uniqueId val="{00000001-7CA4-4F9A-9444-8EF8A4B16654}"/>
            </c:ext>
          </c:extLst>
        </c:ser>
        <c:dLbls>
          <c:showLegendKey val="0"/>
          <c:showVal val="0"/>
          <c:showCatName val="0"/>
          <c:showSerName val="0"/>
          <c:showPercent val="0"/>
          <c:showBubbleSize val="0"/>
        </c:dLbls>
        <c:smooth val="0"/>
        <c:axId val="103371008"/>
        <c:axId val="103371792"/>
      </c:lineChart>
      <c:catAx>
        <c:axId val="103371008"/>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sz="1200" b="1" i="0" u="none" strike="noStrike" baseline="0">
                    <a:effectLst/>
                    <a:latin typeface="Arial" panose="020B0604020202020204" pitchFamily="34" charset="0"/>
                    <a:cs typeface="Arial" panose="020B0604020202020204" pitchFamily="34" charset="0"/>
                  </a:rPr>
                  <a:t>PEB</a:t>
                </a:r>
                <a:r>
                  <a:rPr lang="de-DE">
                    <a:latin typeface="Arial"/>
                    <a:cs typeface="Arial"/>
                  </a:rPr>
                  <a:t> in</a:t>
                </a:r>
                <a:r>
                  <a:rPr lang="de-DE" baseline="0">
                    <a:latin typeface="Arial"/>
                    <a:cs typeface="Arial"/>
                  </a:rPr>
                  <a:t> </a:t>
                </a:r>
                <a:r>
                  <a:rPr lang="de-DE">
                    <a:latin typeface="Arial"/>
                    <a:cs typeface="Arial"/>
                  </a:rPr>
                  <a:t>kWh/(m²a)</a:t>
                </a:r>
                <a:endParaRPr lang="de-DE"/>
              </a:p>
            </c:rich>
          </c:tx>
          <c:overlay val="0"/>
        </c:title>
        <c:numFmt formatCode="0" sourceLinked="1"/>
        <c:majorTickMark val="out"/>
        <c:minorTickMark val="none"/>
        <c:tickLblPos val="nextTo"/>
        <c:txPr>
          <a:bodyPr rot="0" vert="horz" anchor="ctr" anchorCtr="0"/>
          <a:lstStyle/>
          <a:p>
            <a:pPr>
              <a:defRPr sz="1000" b="0" i="0" u="none" strike="noStrike">
                <a:solidFill>
                  <a:srgbClr val="000000"/>
                </a:solidFill>
                <a:latin typeface="Calibri"/>
                <a:ea typeface="Calibri"/>
                <a:cs typeface="Calibri"/>
              </a:defRPr>
            </a:pPr>
            <a:endParaRPr lang="de-DE"/>
          </a:p>
        </c:txPr>
        <c:crossAx val="103371792"/>
        <c:crosses val="autoZero"/>
        <c:auto val="0"/>
        <c:lblAlgn val="ctr"/>
        <c:lblOffset val="100"/>
        <c:tickLblSkip val="4"/>
        <c:tickMarkSkip val="2"/>
        <c:noMultiLvlLbl val="0"/>
      </c:catAx>
      <c:valAx>
        <c:axId val="103371792"/>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1008"/>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Emissionen CO</a:t>
            </a:r>
            <a:r>
              <a:rPr lang="de-DE" sz="1800" b="1" i="0" u="none" strike="noStrike" baseline="-25000">
                <a:effectLst/>
                <a:latin typeface="Arial" panose="020B0604020202020204" pitchFamily="34" charset="0"/>
                <a:cs typeface="Arial" panose="020B0604020202020204" pitchFamily="34" charset="0"/>
              </a:rPr>
              <a:t>2</a:t>
            </a:r>
            <a:r>
              <a:rPr lang="de-DE" sz="1800" b="1" i="0" u="none" strike="noStrike" baseline="0">
                <a:effectLst/>
                <a:latin typeface="Arial" panose="020B0604020202020204" pitchFamily="34" charset="0"/>
                <a:cs typeface="Arial" panose="020B0604020202020204" pitchFamily="34" charset="0"/>
              </a:rPr>
              <a:t>-Äquivalente</a:t>
            </a:r>
            <a:r>
              <a:rPr lang="de-DE" b="1">
                <a:latin typeface="Arial" panose="020B0604020202020204" pitchFamily="34" charset="0"/>
                <a:cs typeface="Arial" panose="020B0604020202020204" pitchFamily="34" charset="0"/>
              </a:rPr>
              <a:t> </a:t>
            </a:r>
            <a:r>
              <a:rPr lang="de-DE">
                <a:latin typeface="Arial"/>
                <a:cs typeface="Arial"/>
              </a:rPr>
              <a:t>Neubau</a:t>
            </a:r>
            <a:endParaRPr lang="de-DE"/>
          </a:p>
        </c:rich>
      </c:tx>
      <c:overlay val="0"/>
    </c:title>
    <c:autoTitleDeleted val="0"/>
    <c:plotArea>
      <c:layout/>
      <c:lineChart>
        <c:grouping val="standard"/>
        <c:varyColors val="0"/>
        <c:ser>
          <c:idx val="0"/>
          <c:order val="0"/>
          <c:tx>
            <c:strRef>
              <c:f>'B1b Graphik'!$O$92:$P$92</c:f>
              <c:strCache>
                <c:ptCount val="1"/>
                <c:pt idx="0">
                  <c:v>CO2-Äquivalente</c:v>
                </c:pt>
              </c:strCache>
            </c:strRef>
          </c:tx>
          <c:spPr>
            <a:prstGeom prst="rect">
              <a:avLst/>
            </a:prstGeom>
            <a:ln w="28575">
              <a:solidFill>
                <a:schemeClr val="tx1"/>
              </a:solidFill>
            </a:ln>
          </c:spPr>
          <c:marker>
            <c:symbol val="none"/>
          </c:marker>
          <c:cat>
            <c:numRef>
              <c:f>'B1b Graphik'!$O$94:$O$124</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'B1b Graphik'!$P$94:$P$124</c:f>
              <c:numCache>
                <c:formatCode>0</c:formatCode>
                <c:ptCount val="31"/>
                <c:pt idx="0">
                  <c:v>135</c:v>
                </c:pt>
                <c:pt idx="1">
                  <c:v>127.5</c:v>
                </c:pt>
                <c:pt idx="2">
                  <c:v>120</c:v>
                </c:pt>
                <c:pt idx="3">
                  <c:v>112.5</c:v>
                </c:pt>
                <c:pt idx="4">
                  <c:v>105</c:v>
                </c:pt>
                <c:pt idx="5">
                  <c:v>97.5</c:v>
                </c:pt>
                <c:pt idx="6">
                  <c:v>90</c:v>
                </c:pt>
                <c:pt idx="7">
                  <c:v>82.5</c:v>
                </c:pt>
                <c:pt idx="8">
                  <c:v>75</c:v>
                </c:pt>
                <c:pt idx="9">
                  <c:v>67.5</c:v>
                </c:pt>
                <c:pt idx="10">
                  <c:v>60</c:v>
                </c:pt>
                <c:pt idx="11">
                  <c:v>52.5</c:v>
                </c:pt>
                <c:pt idx="12">
                  <c:v>45</c:v>
                </c:pt>
                <c:pt idx="13">
                  <c:v>37.5</c:v>
                </c:pt>
                <c:pt idx="14">
                  <c:v>30</c:v>
                </c:pt>
                <c:pt idx="15">
                  <c:v>22.5</c:v>
                </c:pt>
                <c:pt idx="16">
                  <c:v>15</c:v>
                </c:pt>
                <c:pt idx="17">
                  <c:v>7.5</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8677-4E3A-8AF3-8C18513081D0}"/>
            </c:ext>
          </c:extLst>
        </c:ser>
        <c:dLbls>
          <c:showLegendKey val="0"/>
          <c:showVal val="0"/>
          <c:showCatName val="0"/>
          <c:showSerName val="0"/>
          <c:showPercent val="0"/>
          <c:showBubbleSize val="0"/>
        </c:dLbls>
        <c:smooth val="0"/>
        <c:axId val="103372184"/>
        <c:axId val="103364736"/>
      </c:lineChart>
      <c:catAx>
        <c:axId val="103372184"/>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a:latin typeface="Arial"/>
                    <a:cs typeface="Arial"/>
                  </a:rPr>
                  <a:t>CO</a:t>
                </a:r>
                <a:r>
                  <a:rPr lang="de-DE" baseline="-25000">
                    <a:latin typeface="Arial"/>
                    <a:cs typeface="Arial"/>
                  </a:rPr>
                  <a:t>2</a:t>
                </a:r>
                <a:r>
                  <a:rPr lang="de-DE" baseline="0">
                    <a:latin typeface="Arial"/>
                    <a:cs typeface="Arial"/>
                  </a:rPr>
                  <a:t>-Äquivalente</a:t>
                </a:r>
                <a:r>
                  <a:rPr lang="de-DE">
                    <a:latin typeface="Arial"/>
                    <a:cs typeface="Arial"/>
                  </a:rPr>
                  <a:t> in</a:t>
                </a:r>
                <a:r>
                  <a:rPr lang="de-DE" baseline="0">
                    <a:latin typeface="Arial"/>
                    <a:cs typeface="Arial"/>
                  </a:rPr>
                  <a:t> </a:t>
                </a:r>
                <a:r>
                  <a:rPr lang="de-DE">
                    <a:latin typeface="Arial"/>
                    <a:cs typeface="Arial"/>
                  </a:rPr>
                  <a:t>kg/(m²a)</a:t>
                </a:r>
                <a:endParaRPr lang="de-DE"/>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64736"/>
        <c:crosses val="autoZero"/>
        <c:auto val="1"/>
        <c:lblAlgn val="ctr"/>
        <c:lblOffset val="100"/>
        <c:tickLblSkip val="2"/>
        <c:tickMarkSkip val="2"/>
        <c:noMultiLvlLbl val="0"/>
      </c:catAx>
      <c:valAx>
        <c:axId val="103364736"/>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2184"/>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000000000000004" r="0.7000000000000004" t="0.78740157499999996"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Heizwärmebedarf HWB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latin typeface="Arial" panose="020B0604020202020204" pitchFamily="34" charset="0"/>
                <a:cs typeface="Arial" panose="020B0604020202020204" pitchFamily="34" charset="0"/>
              </a:rPr>
              <a:t> </a:t>
            </a:r>
            <a:r>
              <a:rPr lang="en-US">
                <a:latin typeface="Arial"/>
                <a:cs typeface="Arial"/>
              </a:rPr>
              <a:t>Neubau</a:t>
            </a:r>
            <a:endParaRPr lang="en-US"/>
          </a:p>
        </c:rich>
      </c:tx>
      <c:overlay val="0"/>
    </c:title>
    <c:autoTitleDeleted val="0"/>
    <c:plotArea>
      <c:layout/>
      <c:lineChart>
        <c:grouping val="standard"/>
        <c:varyColors val="0"/>
        <c:ser>
          <c:idx val="1"/>
          <c:order val="0"/>
          <c:tx>
            <c:strRef>
              <c:f>'B1b Graphik'!$C$92:$D$92</c:f>
              <c:strCache>
                <c:ptCount val="1"/>
                <c:pt idx="0">
                  <c:v>Heizwärmebedarf</c:v>
                </c:pt>
              </c:strCache>
            </c:strRef>
          </c:tx>
          <c:spPr>
            <a:ln w="28575">
              <a:solidFill>
                <a:srgbClr val="C00000"/>
              </a:solidFill>
            </a:ln>
          </c:spPr>
          <c:marker>
            <c:symbol val="none"/>
          </c:marker>
          <c:cat>
            <c:numRef>
              <c:f>'B1b Graphik'!$C$94:$C$159</c:f>
              <c:numCache>
                <c:formatCode>0</c:formatCode>
                <c:ptCount val="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numCache>
            </c:numRef>
          </c:cat>
          <c:val>
            <c:numRef>
              <c:f>'B1b Graphik'!$D$94:$D$159</c:f>
              <c:numCache>
                <c:formatCode>0</c:formatCode>
                <c:ptCount val="66"/>
                <c:pt idx="0">
                  <c:v>25</c:v>
                </c:pt>
                <c:pt idx="1">
                  <c:v>25</c:v>
                </c:pt>
                <c:pt idx="2">
                  <c:v>25</c:v>
                </c:pt>
                <c:pt idx="3">
                  <c:v>25</c:v>
                </c:pt>
                <c:pt idx="4">
                  <c:v>25</c:v>
                </c:pt>
                <c:pt idx="5">
                  <c:v>25</c:v>
                </c:pt>
                <c:pt idx="6">
                  <c:v>25</c:v>
                </c:pt>
                <c:pt idx="7">
                  <c:v>25</c:v>
                </c:pt>
                <c:pt idx="8">
                  <c:v>25</c:v>
                </c:pt>
                <c:pt idx="9">
                  <c:v>25</c:v>
                </c:pt>
                <c:pt idx="10">
                  <c:v>25</c:v>
                </c:pt>
                <c:pt idx="11">
                  <c:v>24.404761904761905</c:v>
                </c:pt>
                <c:pt idx="12">
                  <c:v>23.80952380952381</c:v>
                </c:pt>
                <c:pt idx="13">
                  <c:v>23.214285714285715</c:v>
                </c:pt>
                <c:pt idx="14">
                  <c:v>22.61904761904762</c:v>
                </c:pt>
                <c:pt idx="15">
                  <c:v>22.023809523809522</c:v>
                </c:pt>
                <c:pt idx="16">
                  <c:v>21.428571428571427</c:v>
                </c:pt>
                <c:pt idx="17">
                  <c:v>20.833333333333332</c:v>
                </c:pt>
                <c:pt idx="18">
                  <c:v>20.238095238095237</c:v>
                </c:pt>
                <c:pt idx="19">
                  <c:v>19.642857142857142</c:v>
                </c:pt>
                <c:pt idx="20">
                  <c:v>19.047619047619047</c:v>
                </c:pt>
                <c:pt idx="21">
                  <c:v>18.452380952380953</c:v>
                </c:pt>
                <c:pt idx="22">
                  <c:v>17.857142857142858</c:v>
                </c:pt>
                <c:pt idx="23">
                  <c:v>17.261904761904763</c:v>
                </c:pt>
                <c:pt idx="24">
                  <c:v>16.666666666666668</c:v>
                </c:pt>
                <c:pt idx="25">
                  <c:v>16.071428571428573</c:v>
                </c:pt>
                <c:pt idx="26">
                  <c:v>15.476190476190476</c:v>
                </c:pt>
                <c:pt idx="27">
                  <c:v>14.880952380952381</c:v>
                </c:pt>
                <c:pt idx="28">
                  <c:v>14.285714285714285</c:v>
                </c:pt>
                <c:pt idx="29">
                  <c:v>13.69047619047619</c:v>
                </c:pt>
                <c:pt idx="30">
                  <c:v>13.095238095238095</c:v>
                </c:pt>
                <c:pt idx="31">
                  <c:v>12.5</c:v>
                </c:pt>
                <c:pt idx="32">
                  <c:v>11.904761904761905</c:v>
                </c:pt>
                <c:pt idx="33">
                  <c:v>11.30952380952381</c:v>
                </c:pt>
                <c:pt idx="34">
                  <c:v>10.714285714285714</c:v>
                </c:pt>
                <c:pt idx="35">
                  <c:v>10.119047619047619</c:v>
                </c:pt>
                <c:pt idx="36">
                  <c:v>9.5238095238095237</c:v>
                </c:pt>
                <c:pt idx="37">
                  <c:v>8.9285714285714288</c:v>
                </c:pt>
                <c:pt idx="38">
                  <c:v>8.3333333333333339</c:v>
                </c:pt>
                <c:pt idx="39">
                  <c:v>7.7380952380952381</c:v>
                </c:pt>
                <c:pt idx="40">
                  <c:v>7.1428571428571423</c:v>
                </c:pt>
                <c:pt idx="41">
                  <c:v>6.5476190476190474</c:v>
                </c:pt>
                <c:pt idx="42">
                  <c:v>5.9523809523809526</c:v>
                </c:pt>
                <c:pt idx="43">
                  <c:v>5.3571428571428568</c:v>
                </c:pt>
                <c:pt idx="44">
                  <c:v>4.7619047619047619</c:v>
                </c:pt>
                <c:pt idx="45">
                  <c:v>4.166666666666667</c:v>
                </c:pt>
                <c:pt idx="46">
                  <c:v>3.5714285714285712</c:v>
                </c:pt>
                <c:pt idx="47">
                  <c:v>2.9761904761904763</c:v>
                </c:pt>
                <c:pt idx="48">
                  <c:v>2.3809523809523809</c:v>
                </c:pt>
                <c:pt idx="49">
                  <c:v>1.7857142857142856</c:v>
                </c:pt>
                <c:pt idx="50">
                  <c:v>1.1904761904761905</c:v>
                </c:pt>
                <c:pt idx="51">
                  <c:v>0.59523809523809523</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extLst>
            <c:ext xmlns:c16="http://schemas.microsoft.com/office/drawing/2014/chart" uri="{C3380CC4-5D6E-409C-BE32-E72D297353CC}">
              <c16:uniqueId val="{00000000-78BF-4546-8876-E4EBD3F00523}"/>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HWB</a:t>
                </a:r>
                <a:r>
                  <a:rPr lang="de-DE" sz="1200" b="1" i="0" u="none" strike="noStrike" baseline="-25000">
                    <a:effectLst/>
                    <a:latin typeface="Arial" panose="020B0604020202020204" pitchFamily="34" charset="0"/>
                    <a:cs typeface="Arial" panose="020B0604020202020204" pitchFamily="34" charset="0"/>
                  </a:rPr>
                  <a:t>SK</a:t>
                </a:r>
                <a:r>
                  <a:rPr lang="en-US" sz="1200">
                    <a:latin typeface="Arial"/>
                    <a:cs typeface="Arial"/>
                  </a:rPr>
                  <a:t> </a:t>
                </a:r>
                <a:r>
                  <a:rPr lang="en-US" sz="1000">
                    <a:latin typeface="Arial"/>
                    <a:cs typeface="Arial"/>
                  </a:rPr>
                  <a:t>in</a:t>
                </a:r>
                <a:r>
                  <a:rPr lang="en-US" sz="1000"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txPr>
          <a:bodyPr rot="0" vert="horz"/>
          <a:lstStyle/>
          <a:p>
            <a:pPr>
              <a:defRPr/>
            </a:pPr>
            <a:endParaRPr lang="de-DE"/>
          </a:p>
        </c:txPr>
        <c:crossAx val="103366304"/>
        <c:crosses val="autoZero"/>
        <c:auto val="1"/>
        <c:lblAlgn val="ctr"/>
        <c:lblOffset val="100"/>
        <c:tickLblSkip val="4"/>
        <c:tickMarkSkip val="2"/>
        <c:noMultiLvlLbl val="0"/>
      </c:catAx>
      <c:valAx>
        <c:axId val="103366304"/>
        <c:scaling>
          <c:orientation val="minMax"/>
          <c:max val="4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minorUnit val="1"/>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Kühlbedarf KB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latin typeface="Arial" panose="020B0604020202020204" pitchFamily="34" charset="0"/>
                <a:cs typeface="Arial" panose="020B0604020202020204" pitchFamily="34" charset="0"/>
              </a:rPr>
              <a:t> </a:t>
            </a:r>
            <a:r>
              <a:rPr lang="en-US" sz="1800" b="1" i="0" u="none" strike="noStrike" baseline="0">
                <a:latin typeface="Arial" panose="020B0604020202020204" pitchFamily="34" charset="0"/>
                <a:cs typeface="Arial" panose="020B0604020202020204" pitchFamily="34" charset="0"/>
              </a:rPr>
              <a:t>N</a:t>
            </a:r>
            <a:r>
              <a:rPr lang="en-US"/>
              <a:t>eubau</a:t>
            </a:r>
          </a:p>
        </c:rich>
      </c:tx>
      <c:overlay val="0"/>
    </c:title>
    <c:autoTitleDeleted val="0"/>
    <c:plotArea>
      <c:layout/>
      <c:lineChart>
        <c:grouping val="standard"/>
        <c:varyColors val="0"/>
        <c:ser>
          <c:idx val="0"/>
          <c:order val="0"/>
          <c:tx>
            <c:strRef>
              <c:f>'B1b Graphik'!$I$92:$J$92</c:f>
              <c:strCache>
                <c:ptCount val="1"/>
                <c:pt idx="0">
                  <c:v>Kühlbedarf</c:v>
                </c:pt>
              </c:strCache>
            </c:strRef>
          </c:tx>
          <c:marker>
            <c:symbol val="none"/>
          </c:marker>
          <c:cat>
            <c:numRef>
              <c:f>'B1b Graphik'!$I$94:$I$134</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'B1b Graphik'!$J$94:$J$134</c:f>
              <c:numCache>
                <c:formatCode>0</c:formatCode>
                <c:ptCount val="41"/>
                <c:pt idx="0">
                  <c:v>30</c:v>
                </c:pt>
                <c:pt idx="1">
                  <c:v>30</c:v>
                </c:pt>
                <c:pt idx="2">
                  <c:v>30</c:v>
                </c:pt>
                <c:pt idx="3">
                  <c:v>30</c:v>
                </c:pt>
                <c:pt idx="4">
                  <c:v>30</c:v>
                </c:pt>
                <c:pt idx="5">
                  <c:v>30</c:v>
                </c:pt>
                <c:pt idx="6">
                  <c:v>30</c:v>
                </c:pt>
                <c:pt idx="7">
                  <c:v>30</c:v>
                </c:pt>
                <c:pt idx="8">
                  <c:v>30</c:v>
                </c:pt>
                <c:pt idx="9">
                  <c:v>30</c:v>
                </c:pt>
                <c:pt idx="10">
                  <c:v>30</c:v>
                </c:pt>
                <c:pt idx="11">
                  <c:v>30</c:v>
                </c:pt>
                <c:pt idx="12">
                  <c:v>30</c:v>
                </c:pt>
                <c:pt idx="13">
                  <c:v>28.333333333333336</c:v>
                </c:pt>
                <c:pt idx="14">
                  <c:v>26.666666666666668</c:v>
                </c:pt>
                <c:pt idx="15">
                  <c:v>25</c:v>
                </c:pt>
                <c:pt idx="16">
                  <c:v>23.333333333333336</c:v>
                </c:pt>
                <c:pt idx="17">
                  <c:v>21.666666666666668</c:v>
                </c:pt>
                <c:pt idx="18">
                  <c:v>20</c:v>
                </c:pt>
                <c:pt idx="19">
                  <c:v>18.333333333333336</c:v>
                </c:pt>
                <c:pt idx="20">
                  <c:v>16.666666666666668</c:v>
                </c:pt>
                <c:pt idx="21">
                  <c:v>15</c:v>
                </c:pt>
                <c:pt idx="22">
                  <c:v>13.333333333333334</c:v>
                </c:pt>
                <c:pt idx="23">
                  <c:v>11.666666666666668</c:v>
                </c:pt>
                <c:pt idx="24">
                  <c:v>10</c:v>
                </c:pt>
                <c:pt idx="25">
                  <c:v>8.3333333333333339</c:v>
                </c:pt>
                <c:pt idx="26">
                  <c:v>6.666666666666667</c:v>
                </c:pt>
                <c:pt idx="27">
                  <c:v>5</c:v>
                </c:pt>
                <c:pt idx="28">
                  <c:v>3.3333333333333335</c:v>
                </c:pt>
                <c:pt idx="29">
                  <c:v>1.6666666666666667</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0-CEFD-4797-A16A-150470EB7748}"/>
            </c:ext>
          </c:extLst>
        </c:ser>
        <c:dLbls>
          <c:showLegendKey val="0"/>
          <c:showVal val="0"/>
          <c:showCatName val="0"/>
          <c:showSerName val="0"/>
          <c:showPercent val="0"/>
          <c:showBubbleSize val="0"/>
        </c:dLbls>
        <c:smooth val="0"/>
        <c:axId val="104017064"/>
        <c:axId val="104017456"/>
      </c:lineChart>
      <c:catAx>
        <c:axId val="104017064"/>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KB</a:t>
                </a:r>
                <a:r>
                  <a:rPr lang="de-DE" sz="1200" b="1" i="0" u="none" strike="noStrike" baseline="-25000">
                    <a:effectLst/>
                    <a:latin typeface="Arial" panose="020B0604020202020204" pitchFamily="34" charset="0"/>
                    <a:cs typeface="Arial" panose="020B0604020202020204" pitchFamily="34" charset="0"/>
                  </a:rPr>
                  <a:t>SK</a:t>
                </a:r>
                <a:r>
                  <a:rPr lang="en-US">
                    <a:latin typeface="Arial"/>
                    <a:cs typeface="Arial"/>
                  </a:rPr>
                  <a:t> in</a:t>
                </a:r>
                <a:r>
                  <a:rPr lang="en-US"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4017456"/>
        <c:crosses val="autoZero"/>
        <c:auto val="1"/>
        <c:lblAlgn val="ctr"/>
        <c:lblOffset val="100"/>
        <c:tickLblSkip val="2"/>
        <c:tickMarkSkip val="1"/>
        <c:noMultiLvlLbl val="0"/>
      </c:catAx>
      <c:valAx>
        <c:axId val="104017456"/>
        <c:scaling>
          <c:orientation val="minMax"/>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401706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Primärenergiebedarf PEB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effectLst/>
                <a:latin typeface="Arial" panose="020B0604020202020204" pitchFamily="34" charset="0"/>
                <a:cs typeface="Arial" panose="020B0604020202020204" pitchFamily="34" charset="0"/>
              </a:rPr>
              <a:t> Sanierung</a:t>
            </a:r>
            <a:endParaRPr lang="de-DE"/>
          </a:p>
        </c:rich>
      </c:tx>
      <c:overlay val="0"/>
    </c:title>
    <c:autoTitleDeleted val="0"/>
    <c:plotArea>
      <c:layout/>
      <c:lineChart>
        <c:grouping val="standard"/>
        <c:varyColors val="0"/>
        <c:ser>
          <c:idx val="0"/>
          <c:order val="0"/>
          <c:tx>
            <c:strRef>
              <c:f>'B1b Graphik'!$AC$92:$AD$92</c:f>
              <c:strCache>
                <c:ptCount val="1"/>
                <c:pt idx="0">
                  <c:v>Primärenergiebedarf</c:v>
                </c:pt>
              </c:strCache>
            </c:strRef>
          </c:tx>
          <c:spPr>
            <a:ln w="28575">
              <a:solidFill>
                <a:schemeClr val="accent6">
                  <a:lumMod val="75000"/>
                </a:schemeClr>
              </a:solidFill>
            </a:ln>
          </c:spPr>
          <c:marker>
            <c:symbol val="none"/>
          </c:marker>
          <c:cat>
            <c:numRef>
              <c:f>'B1b Graphik'!$AC$94:$AC$244</c:f>
              <c:numCache>
                <c:formatCode>0</c:formatCode>
                <c:ptCount val="1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numCache>
            </c:numRef>
          </c:cat>
          <c:val>
            <c:numRef>
              <c:f>'B1b Graphik'!$AD$94:$AD$244</c:f>
              <c:numCache>
                <c:formatCode>0</c:formatCode>
                <c:ptCount val="151"/>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118.83495145631068</c:v>
                </c:pt>
                <c:pt idx="45">
                  <c:v>117.66990291262135</c:v>
                </c:pt>
                <c:pt idx="46">
                  <c:v>116.50485436893203</c:v>
                </c:pt>
                <c:pt idx="47">
                  <c:v>115.33980582524271</c:v>
                </c:pt>
                <c:pt idx="48">
                  <c:v>114.1747572815534</c:v>
                </c:pt>
                <c:pt idx="49">
                  <c:v>113.00970873786407</c:v>
                </c:pt>
                <c:pt idx="50">
                  <c:v>111.84466019417475</c:v>
                </c:pt>
                <c:pt idx="51">
                  <c:v>110.67961165048543</c:v>
                </c:pt>
                <c:pt idx="52">
                  <c:v>109.5145631067961</c:v>
                </c:pt>
                <c:pt idx="53">
                  <c:v>108.34951456310679</c:v>
                </c:pt>
                <c:pt idx="54">
                  <c:v>107.18446601941747</c:v>
                </c:pt>
                <c:pt idx="55">
                  <c:v>106.01941747572815</c:v>
                </c:pt>
                <c:pt idx="56">
                  <c:v>104.85436893203882</c:v>
                </c:pt>
                <c:pt idx="57">
                  <c:v>103.68932038834951</c:v>
                </c:pt>
                <c:pt idx="58">
                  <c:v>102.52427184466019</c:v>
                </c:pt>
                <c:pt idx="59">
                  <c:v>101.35922330097087</c:v>
                </c:pt>
                <c:pt idx="60">
                  <c:v>100.19417475728154</c:v>
                </c:pt>
                <c:pt idx="61">
                  <c:v>99.029126213592221</c:v>
                </c:pt>
                <c:pt idx="62">
                  <c:v>97.864077669902912</c:v>
                </c:pt>
                <c:pt idx="63">
                  <c:v>96.699029126213588</c:v>
                </c:pt>
                <c:pt idx="64">
                  <c:v>95.533980582524265</c:v>
                </c:pt>
                <c:pt idx="65">
                  <c:v>94.368932038834942</c:v>
                </c:pt>
                <c:pt idx="66">
                  <c:v>93.203883495145618</c:v>
                </c:pt>
                <c:pt idx="67">
                  <c:v>92.038834951456309</c:v>
                </c:pt>
                <c:pt idx="68">
                  <c:v>90.873786407766985</c:v>
                </c:pt>
                <c:pt idx="69">
                  <c:v>89.708737864077662</c:v>
                </c:pt>
                <c:pt idx="70">
                  <c:v>88.543689320388339</c:v>
                </c:pt>
                <c:pt idx="71">
                  <c:v>87.378640776699029</c:v>
                </c:pt>
                <c:pt idx="72">
                  <c:v>86.213592233009706</c:v>
                </c:pt>
                <c:pt idx="73">
                  <c:v>85.048543689320383</c:v>
                </c:pt>
                <c:pt idx="74">
                  <c:v>83.883495145631059</c:v>
                </c:pt>
                <c:pt idx="75">
                  <c:v>82.718446601941736</c:v>
                </c:pt>
                <c:pt idx="76">
                  <c:v>81.553398058252426</c:v>
                </c:pt>
                <c:pt idx="77">
                  <c:v>80.388349514563103</c:v>
                </c:pt>
                <c:pt idx="78">
                  <c:v>79.22330097087378</c:v>
                </c:pt>
                <c:pt idx="79">
                  <c:v>78.058252427184456</c:v>
                </c:pt>
                <c:pt idx="80">
                  <c:v>76.893203883495147</c:v>
                </c:pt>
                <c:pt idx="81">
                  <c:v>75.728155339805824</c:v>
                </c:pt>
                <c:pt idx="82">
                  <c:v>74.5631067961165</c:v>
                </c:pt>
                <c:pt idx="83">
                  <c:v>73.398058252427177</c:v>
                </c:pt>
                <c:pt idx="84">
                  <c:v>72.233009708737853</c:v>
                </c:pt>
                <c:pt idx="85">
                  <c:v>71.067961165048544</c:v>
                </c:pt>
                <c:pt idx="86">
                  <c:v>69.902912621359221</c:v>
                </c:pt>
                <c:pt idx="87">
                  <c:v>68.737864077669897</c:v>
                </c:pt>
                <c:pt idx="88">
                  <c:v>67.572815533980574</c:v>
                </c:pt>
                <c:pt idx="89">
                  <c:v>66.407766990291265</c:v>
                </c:pt>
                <c:pt idx="90">
                  <c:v>65.242718446601941</c:v>
                </c:pt>
                <c:pt idx="91">
                  <c:v>64.077669902912618</c:v>
                </c:pt>
                <c:pt idx="92">
                  <c:v>62.912621359223294</c:v>
                </c:pt>
                <c:pt idx="93">
                  <c:v>61.747572815533978</c:v>
                </c:pt>
                <c:pt idx="94">
                  <c:v>60.582524271844655</c:v>
                </c:pt>
                <c:pt idx="95">
                  <c:v>59.417475728155338</c:v>
                </c:pt>
                <c:pt idx="96">
                  <c:v>58.252427184466015</c:v>
                </c:pt>
                <c:pt idx="97">
                  <c:v>57.087378640776699</c:v>
                </c:pt>
                <c:pt idx="98">
                  <c:v>55.922330097087375</c:v>
                </c:pt>
                <c:pt idx="99">
                  <c:v>54.757281553398052</c:v>
                </c:pt>
                <c:pt idx="100">
                  <c:v>53.592233009708735</c:v>
                </c:pt>
                <c:pt idx="101">
                  <c:v>52.427184466019412</c:v>
                </c:pt>
                <c:pt idx="102">
                  <c:v>51.262135922330096</c:v>
                </c:pt>
                <c:pt idx="103">
                  <c:v>50.097087378640772</c:v>
                </c:pt>
                <c:pt idx="104">
                  <c:v>48.932038834951456</c:v>
                </c:pt>
                <c:pt idx="105">
                  <c:v>47.766990291262132</c:v>
                </c:pt>
                <c:pt idx="106">
                  <c:v>46.601941747572809</c:v>
                </c:pt>
                <c:pt idx="107">
                  <c:v>45.436893203883493</c:v>
                </c:pt>
                <c:pt idx="108">
                  <c:v>44.271844660194169</c:v>
                </c:pt>
                <c:pt idx="109">
                  <c:v>43.106796116504853</c:v>
                </c:pt>
                <c:pt idx="110">
                  <c:v>41.94174757281553</c:v>
                </c:pt>
                <c:pt idx="111">
                  <c:v>40.776699029126213</c:v>
                </c:pt>
                <c:pt idx="112">
                  <c:v>39.61165048543689</c:v>
                </c:pt>
                <c:pt idx="113">
                  <c:v>38.446601941747574</c:v>
                </c:pt>
                <c:pt idx="114">
                  <c:v>37.28155339805825</c:v>
                </c:pt>
                <c:pt idx="115">
                  <c:v>36.116504854368927</c:v>
                </c:pt>
                <c:pt idx="116">
                  <c:v>34.95145631067961</c:v>
                </c:pt>
                <c:pt idx="117">
                  <c:v>33.786407766990287</c:v>
                </c:pt>
                <c:pt idx="118">
                  <c:v>32.621359223300971</c:v>
                </c:pt>
                <c:pt idx="119">
                  <c:v>31.456310679611647</c:v>
                </c:pt>
                <c:pt idx="120">
                  <c:v>30.291262135922327</c:v>
                </c:pt>
                <c:pt idx="121">
                  <c:v>29.126213592233007</c:v>
                </c:pt>
                <c:pt idx="122">
                  <c:v>27.961165048543688</c:v>
                </c:pt>
                <c:pt idx="123">
                  <c:v>26.796116504854368</c:v>
                </c:pt>
                <c:pt idx="124">
                  <c:v>25.631067961165048</c:v>
                </c:pt>
                <c:pt idx="125">
                  <c:v>24.466019417475728</c:v>
                </c:pt>
                <c:pt idx="126">
                  <c:v>23.300970873786405</c:v>
                </c:pt>
                <c:pt idx="127">
                  <c:v>22.135922330097085</c:v>
                </c:pt>
                <c:pt idx="128">
                  <c:v>20.970873786407765</c:v>
                </c:pt>
                <c:pt idx="129">
                  <c:v>19.805825242718445</c:v>
                </c:pt>
                <c:pt idx="130">
                  <c:v>18.640776699029125</c:v>
                </c:pt>
                <c:pt idx="131">
                  <c:v>17.475728155339805</c:v>
                </c:pt>
                <c:pt idx="132">
                  <c:v>16.310679611650485</c:v>
                </c:pt>
                <c:pt idx="133">
                  <c:v>15.145631067961164</c:v>
                </c:pt>
                <c:pt idx="134">
                  <c:v>13.980582524271844</c:v>
                </c:pt>
                <c:pt idx="135">
                  <c:v>12.815533980582524</c:v>
                </c:pt>
                <c:pt idx="136">
                  <c:v>11.650485436893202</c:v>
                </c:pt>
                <c:pt idx="137">
                  <c:v>10.485436893203882</c:v>
                </c:pt>
                <c:pt idx="138">
                  <c:v>9.3203883495145625</c:v>
                </c:pt>
                <c:pt idx="139">
                  <c:v>8.1553398058252426</c:v>
                </c:pt>
                <c:pt idx="140">
                  <c:v>6.9902912621359219</c:v>
                </c:pt>
                <c:pt idx="141">
                  <c:v>5.8252427184466011</c:v>
                </c:pt>
                <c:pt idx="142">
                  <c:v>4.6601941747572813</c:v>
                </c:pt>
                <c:pt idx="143">
                  <c:v>3.4951456310679609</c:v>
                </c:pt>
                <c:pt idx="144">
                  <c:v>2.3300970873786406</c:v>
                </c:pt>
                <c:pt idx="145">
                  <c:v>1.1650485436893203</c:v>
                </c:pt>
                <c:pt idx="146">
                  <c:v>0</c:v>
                </c:pt>
                <c:pt idx="147">
                  <c:v>0</c:v>
                </c:pt>
                <c:pt idx="148">
                  <c:v>0</c:v>
                </c:pt>
                <c:pt idx="149">
                  <c:v>0</c:v>
                </c:pt>
                <c:pt idx="150">
                  <c:v>0</c:v>
                </c:pt>
              </c:numCache>
            </c:numRef>
          </c:val>
          <c:smooth val="0"/>
          <c:extLst>
            <c:ext xmlns:c16="http://schemas.microsoft.com/office/drawing/2014/chart" uri="{C3380CC4-5D6E-409C-BE32-E72D297353CC}">
              <c16:uniqueId val="{00000000-229B-4CB9-B9C3-4D579C85BBE2}"/>
            </c:ext>
          </c:extLst>
        </c:ser>
        <c:dLbls>
          <c:showLegendKey val="0"/>
          <c:showVal val="0"/>
          <c:showCatName val="0"/>
          <c:showSerName val="0"/>
          <c:showPercent val="0"/>
          <c:showBubbleSize val="0"/>
        </c:dLbls>
        <c:smooth val="0"/>
        <c:axId val="103371008"/>
        <c:axId val="103371792"/>
      </c:lineChart>
      <c:catAx>
        <c:axId val="103371008"/>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sz="1200" b="1" i="0" u="none" strike="noStrike" baseline="0">
                    <a:effectLst/>
                    <a:latin typeface="Arial" panose="020B0604020202020204" pitchFamily="34" charset="0"/>
                    <a:cs typeface="Arial" panose="020B0604020202020204" pitchFamily="34" charset="0"/>
                  </a:rPr>
                  <a:t>PEB</a:t>
                </a:r>
                <a:r>
                  <a:rPr lang="de-DE" sz="1200" b="1" i="0" u="none" strike="noStrike" baseline="-25000">
                    <a:effectLst/>
                    <a:latin typeface="Arial" panose="020B0604020202020204" pitchFamily="34" charset="0"/>
                    <a:cs typeface="Arial" panose="020B0604020202020204" pitchFamily="34" charset="0"/>
                  </a:rPr>
                  <a:t>SK</a:t>
                </a:r>
                <a:r>
                  <a:rPr lang="de-DE">
                    <a:latin typeface="Arial"/>
                    <a:cs typeface="Arial"/>
                  </a:rPr>
                  <a:t> in</a:t>
                </a:r>
                <a:r>
                  <a:rPr lang="de-DE" baseline="0">
                    <a:latin typeface="Arial"/>
                    <a:cs typeface="Arial"/>
                  </a:rPr>
                  <a:t> </a:t>
                </a:r>
                <a:r>
                  <a:rPr lang="de-DE">
                    <a:latin typeface="Arial"/>
                    <a:cs typeface="Arial"/>
                  </a:rPr>
                  <a:t>kWh/(m²a)</a:t>
                </a:r>
                <a:endParaRPr lang="de-DE"/>
              </a:p>
            </c:rich>
          </c:tx>
          <c:overlay val="0"/>
        </c:title>
        <c:numFmt formatCode="0" sourceLinked="1"/>
        <c:majorTickMark val="out"/>
        <c:minorTickMark val="none"/>
        <c:tickLblPos val="nextTo"/>
        <c:txPr>
          <a:bodyPr rot="0" vert="horz" anchor="ctr" anchorCtr="0"/>
          <a:lstStyle/>
          <a:p>
            <a:pPr>
              <a:defRPr sz="1000" b="0" i="0" u="none" strike="noStrike">
                <a:solidFill>
                  <a:srgbClr val="000000"/>
                </a:solidFill>
                <a:latin typeface="Calibri"/>
                <a:ea typeface="Calibri"/>
                <a:cs typeface="Calibri"/>
              </a:defRPr>
            </a:pPr>
            <a:endParaRPr lang="de-DE"/>
          </a:p>
        </c:txPr>
        <c:crossAx val="103371792"/>
        <c:crosses val="autoZero"/>
        <c:auto val="0"/>
        <c:lblAlgn val="ctr"/>
        <c:lblOffset val="100"/>
        <c:tickLblSkip val="10"/>
        <c:tickMarkSkip val="5"/>
        <c:noMultiLvlLbl val="0"/>
      </c:catAx>
      <c:valAx>
        <c:axId val="103371792"/>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1008"/>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Emissionen CO</a:t>
            </a:r>
            <a:r>
              <a:rPr lang="de-DE" sz="1800" b="1" i="0" u="none" strike="noStrike" baseline="-25000">
                <a:effectLst/>
                <a:latin typeface="Arial" panose="020B0604020202020204" pitchFamily="34" charset="0"/>
                <a:cs typeface="Arial" panose="020B0604020202020204" pitchFamily="34" charset="0"/>
              </a:rPr>
              <a:t>2</a:t>
            </a:r>
            <a:r>
              <a:rPr lang="de-DE" sz="1800" b="1" i="0" u="none" strike="noStrike" baseline="0">
                <a:effectLst/>
                <a:latin typeface="Arial" panose="020B0604020202020204" pitchFamily="34" charset="0"/>
                <a:cs typeface="Arial" panose="020B0604020202020204" pitchFamily="34" charset="0"/>
              </a:rPr>
              <a:t>-Äquivalente</a:t>
            </a:r>
            <a:r>
              <a:rPr lang="de-DE" b="1">
                <a:latin typeface="Arial" panose="020B0604020202020204" pitchFamily="34" charset="0"/>
                <a:cs typeface="Arial" panose="020B0604020202020204" pitchFamily="34" charset="0"/>
              </a:rPr>
              <a:t> </a:t>
            </a:r>
            <a:r>
              <a:rPr lang="de-DE" b="1">
                <a:latin typeface="Arial"/>
                <a:cs typeface="Arial"/>
              </a:rPr>
              <a:t>Sanierung</a:t>
            </a:r>
            <a:endParaRPr lang="de-DE"/>
          </a:p>
        </c:rich>
      </c:tx>
      <c:overlay val="0"/>
    </c:title>
    <c:autoTitleDeleted val="0"/>
    <c:plotArea>
      <c:layout/>
      <c:lineChart>
        <c:grouping val="standard"/>
        <c:varyColors val="0"/>
        <c:ser>
          <c:idx val="0"/>
          <c:order val="0"/>
          <c:tx>
            <c:strRef>
              <c:f>'B1b Graphik'!$AF$92:$AG$92</c:f>
              <c:strCache>
                <c:ptCount val="1"/>
                <c:pt idx="0">
                  <c:v>CO2-Äquivalente</c:v>
                </c:pt>
              </c:strCache>
            </c:strRef>
          </c:tx>
          <c:spPr>
            <a:ln w="28575">
              <a:solidFill>
                <a:schemeClr val="tx1">
                  <a:lumMod val="95000"/>
                  <a:lumOff val="5000"/>
                </a:schemeClr>
              </a:solidFill>
            </a:ln>
          </c:spPr>
          <c:marker>
            <c:symbol val="none"/>
          </c:marker>
          <c:cat>
            <c:numRef>
              <c:f>'B1b Graphik'!$AF$94:$AF$124</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'B1b Graphik'!$AG$94:$AG$124</c:f>
              <c:numCache>
                <c:formatCode>0</c:formatCode>
                <c:ptCount val="31"/>
                <c:pt idx="0">
                  <c:v>135</c:v>
                </c:pt>
                <c:pt idx="1">
                  <c:v>129.375</c:v>
                </c:pt>
                <c:pt idx="2">
                  <c:v>123.75</c:v>
                </c:pt>
                <c:pt idx="3">
                  <c:v>118.125</c:v>
                </c:pt>
                <c:pt idx="4">
                  <c:v>112.5</c:v>
                </c:pt>
                <c:pt idx="5">
                  <c:v>106.875</c:v>
                </c:pt>
                <c:pt idx="6">
                  <c:v>101.25</c:v>
                </c:pt>
                <c:pt idx="7">
                  <c:v>95.625</c:v>
                </c:pt>
                <c:pt idx="8">
                  <c:v>90</c:v>
                </c:pt>
                <c:pt idx="9">
                  <c:v>84.375</c:v>
                </c:pt>
                <c:pt idx="10">
                  <c:v>78.75</c:v>
                </c:pt>
                <c:pt idx="11">
                  <c:v>73.125</c:v>
                </c:pt>
                <c:pt idx="12">
                  <c:v>67.5</c:v>
                </c:pt>
                <c:pt idx="13">
                  <c:v>61.875</c:v>
                </c:pt>
                <c:pt idx="14">
                  <c:v>56.25</c:v>
                </c:pt>
                <c:pt idx="15">
                  <c:v>50.625</c:v>
                </c:pt>
                <c:pt idx="16">
                  <c:v>45</c:v>
                </c:pt>
                <c:pt idx="17">
                  <c:v>39.375</c:v>
                </c:pt>
                <c:pt idx="18">
                  <c:v>33.75</c:v>
                </c:pt>
                <c:pt idx="19">
                  <c:v>28.125</c:v>
                </c:pt>
                <c:pt idx="20">
                  <c:v>22.5</c:v>
                </c:pt>
                <c:pt idx="21">
                  <c:v>16.875</c:v>
                </c:pt>
                <c:pt idx="22">
                  <c:v>11.25</c:v>
                </c:pt>
                <c:pt idx="23">
                  <c:v>5.625</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7253-43FC-BA82-60DCBE483191}"/>
            </c:ext>
          </c:extLst>
        </c:ser>
        <c:dLbls>
          <c:showLegendKey val="0"/>
          <c:showVal val="0"/>
          <c:showCatName val="0"/>
          <c:showSerName val="0"/>
          <c:showPercent val="0"/>
          <c:showBubbleSize val="0"/>
        </c:dLbls>
        <c:smooth val="0"/>
        <c:axId val="103372184"/>
        <c:axId val="103364736"/>
      </c:lineChart>
      <c:catAx>
        <c:axId val="103372184"/>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a:latin typeface="Arial"/>
                    <a:cs typeface="Arial"/>
                  </a:rPr>
                  <a:t>CO</a:t>
                </a:r>
                <a:r>
                  <a:rPr lang="de-DE" baseline="-25000">
                    <a:latin typeface="Arial"/>
                    <a:cs typeface="Arial"/>
                  </a:rPr>
                  <a:t>2</a:t>
                </a:r>
                <a:r>
                  <a:rPr lang="de-DE" baseline="0">
                    <a:latin typeface="Arial"/>
                    <a:cs typeface="Arial"/>
                  </a:rPr>
                  <a:t>-Äquivalente</a:t>
                </a:r>
                <a:r>
                  <a:rPr lang="de-DE">
                    <a:latin typeface="Arial"/>
                    <a:cs typeface="Arial"/>
                  </a:rPr>
                  <a:t> in</a:t>
                </a:r>
                <a:r>
                  <a:rPr lang="de-DE" baseline="0">
                    <a:latin typeface="Arial"/>
                    <a:cs typeface="Arial"/>
                  </a:rPr>
                  <a:t> </a:t>
                </a:r>
                <a:r>
                  <a:rPr lang="de-DE">
                    <a:latin typeface="Arial"/>
                    <a:cs typeface="Arial"/>
                  </a:rPr>
                  <a:t>kg/(m²a)</a:t>
                </a:r>
                <a:endParaRPr lang="de-DE"/>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64736"/>
        <c:crosses val="autoZero"/>
        <c:auto val="1"/>
        <c:lblAlgn val="ctr"/>
        <c:lblOffset val="100"/>
        <c:tickLblSkip val="2"/>
        <c:tickMarkSkip val="2"/>
        <c:noMultiLvlLbl val="0"/>
      </c:catAx>
      <c:valAx>
        <c:axId val="103364736"/>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2184"/>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000000000000004" r="0.7000000000000004" t="0.78740157499999996"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Heizwärmebedarf HWB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effectLst/>
                <a:latin typeface="Arial" panose="020B0604020202020204" pitchFamily="34" charset="0"/>
                <a:cs typeface="Arial" panose="020B0604020202020204" pitchFamily="34" charset="0"/>
              </a:rPr>
              <a:t> Sanierung</a:t>
            </a:r>
            <a:endParaRPr lang="en-US"/>
          </a:p>
        </c:rich>
      </c:tx>
      <c:layout>
        <c:manualLayout>
          <c:xMode val="edge"/>
          <c:yMode val="edge"/>
          <c:x val="0.26766993990420412"/>
          <c:y val="2.8709367014971822E-2"/>
        </c:manualLayout>
      </c:layout>
      <c:overlay val="0"/>
    </c:title>
    <c:autoTitleDeleted val="0"/>
    <c:plotArea>
      <c:layout/>
      <c:lineChart>
        <c:grouping val="standard"/>
        <c:varyColors val="0"/>
        <c:ser>
          <c:idx val="0"/>
          <c:order val="0"/>
          <c:tx>
            <c:strRef>
              <c:f>'B1b Graphik'!$T$92:$U$92</c:f>
              <c:strCache>
                <c:ptCount val="1"/>
                <c:pt idx="0">
                  <c:v>Heizwärmebedarf</c:v>
                </c:pt>
              </c:strCache>
            </c:strRef>
          </c:tx>
          <c:spPr>
            <a:ln>
              <a:solidFill>
                <a:srgbClr val="C00000"/>
              </a:solidFill>
            </a:ln>
          </c:spPr>
          <c:marker>
            <c:symbol val="none"/>
          </c:marker>
          <c:cat>
            <c:numRef>
              <c:f>'B1b Graphik'!$T$94:$T$159</c:f>
              <c:numCache>
                <c:formatCode>0</c:formatCode>
                <c:ptCount val="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numCache>
            </c:numRef>
          </c:cat>
          <c:val>
            <c:numRef>
              <c:f>'B1b Graphik'!$U$94:$U$159</c:f>
              <c:numCache>
                <c:formatCode>0</c:formatCode>
                <c:ptCount val="66"/>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24.375</c:v>
                </c:pt>
                <c:pt idx="24">
                  <c:v>23.75</c:v>
                </c:pt>
                <c:pt idx="25">
                  <c:v>23.125</c:v>
                </c:pt>
                <c:pt idx="26">
                  <c:v>22.5</c:v>
                </c:pt>
                <c:pt idx="27">
                  <c:v>21.875</c:v>
                </c:pt>
                <c:pt idx="28">
                  <c:v>21.25</c:v>
                </c:pt>
                <c:pt idx="29">
                  <c:v>20.625</c:v>
                </c:pt>
                <c:pt idx="30">
                  <c:v>20</c:v>
                </c:pt>
                <c:pt idx="31">
                  <c:v>19.375</c:v>
                </c:pt>
                <c:pt idx="32">
                  <c:v>18.75</c:v>
                </c:pt>
                <c:pt idx="33">
                  <c:v>18.125</c:v>
                </c:pt>
                <c:pt idx="34">
                  <c:v>17.5</c:v>
                </c:pt>
                <c:pt idx="35">
                  <c:v>16.875</c:v>
                </c:pt>
                <c:pt idx="36">
                  <c:v>16.25</c:v>
                </c:pt>
                <c:pt idx="37">
                  <c:v>15.625</c:v>
                </c:pt>
                <c:pt idx="38">
                  <c:v>15</c:v>
                </c:pt>
                <c:pt idx="39">
                  <c:v>14.375</c:v>
                </c:pt>
                <c:pt idx="40">
                  <c:v>13.75</c:v>
                </c:pt>
                <c:pt idx="41">
                  <c:v>13.125</c:v>
                </c:pt>
                <c:pt idx="42">
                  <c:v>12.5</c:v>
                </c:pt>
                <c:pt idx="43">
                  <c:v>11.875</c:v>
                </c:pt>
                <c:pt idx="44">
                  <c:v>11.25</c:v>
                </c:pt>
                <c:pt idx="45">
                  <c:v>10.625</c:v>
                </c:pt>
                <c:pt idx="46">
                  <c:v>10</c:v>
                </c:pt>
                <c:pt idx="47">
                  <c:v>9.375</c:v>
                </c:pt>
                <c:pt idx="48">
                  <c:v>8.75</c:v>
                </c:pt>
                <c:pt idx="49">
                  <c:v>8.125</c:v>
                </c:pt>
                <c:pt idx="50">
                  <c:v>7.5</c:v>
                </c:pt>
                <c:pt idx="51">
                  <c:v>6.875</c:v>
                </c:pt>
                <c:pt idx="52">
                  <c:v>6.25</c:v>
                </c:pt>
                <c:pt idx="53">
                  <c:v>5.625</c:v>
                </c:pt>
                <c:pt idx="54">
                  <c:v>5</c:v>
                </c:pt>
                <c:pt idx="55">
                  <c:v>4.375</c:v>
                </c:pt>
                <c:pt idx="56">
                  <c:v>3.75</c:v>
                </c:pt>
                <c:pt idx="57">
                  <c:v>3.125</c:v>
                </c:pt>
                <c:pt idx="58">
                  <c:v>2.5</c:v>
                </c:pt>
                <c:pt idx="59">
                  <c:v>1.875</c:v>
                </c:pt>
                <c:pt idx="60">
                  <c:v>1.25</c:v>
                </c:pt>
                <c:pt idx="61">
                  <c:v>0.625</c:v>
                </c:pt>
                <c:pt idx="62">
                  <c:v>0</c:v>
                </c:pt>
                <c:pt idx="63">
                  <c:v>0</c:v>
                </c:pt>
                <c:pt idx="64">
                  <c:v>0</c:v>
                </c:pt>
                <c:pt idx="65">
                  <c:v>0</c:v>
                </c:pt>
              </c:numCache>
            </c:numRef>
          </c:val>
          <c:smooth val="0"/>
          <c:extLst>
            <c:ext xmlns:c16="http://schemas.microsoft.com/office/drawing/2014/chart" uri="{C3380CC4-5D6E-409C-BE32-E72D297353CC}">
              <c16:uniqueId val="{00000000-4221-40B6-9450-4A5416A8C319}"/>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HWB</a:t>
                </a:r>
                <a:r>
                  <a:rPr lang="de-DE" sz="1200" b="1" i="0" u="none" strike="noStrike" baseline="-25000">
                    <a:effectLst/>
                    <a:latin typeface="Arial" panose="020B0604020202020204" pitchFamily="34" charset="0"/>
                    <a:cs typeface="Arial" panose="020B0604020202020204" pitchFamily="34" charset="0"/>
                  </a:rPr>
                  <a:t>SK</a:t>
                </a:r>
                <a:r>
                  <a:rPr lang="en-US" sz="1200">
                    <a:latin typeface="Arial"/>
                    <a:cs typeface="Arial"/>
                  </a:rPr>
                  <a:t> </a:t>
                </a:r>
                <a:r>
                  <a:rPr lang="en-US" sz="1000">
                    <a:latin typeface="Arial"/>
                    <a:cs typeface="Arial"/>
                  </a:rPr>
                  <a:t>in</a:t>
                </a:r>
                <a:r>
                  <a:rPr lang="en-US" sz="1000"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3366304"/>
        <c:crosses val="autoZero"/>
        <c:auto val="1"/>
        <c:lblAlgn val="ctr"/>
        <c:lblOffset val="100"/>
        <c:tickLblSkip val="4"/>
        <c:tickMarkSkip val="2"/>
        <c:noMultiLvlLbl val="0"/>
      </c:catAx>
      <c:valAx>
        <c:axId val="103366304"/>
        <c:scaling>
          <c:orientation val="minMax"/>
          <c:max val="4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Kühlbedarf KB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effectLst/>
                <a:latin typeface="Arial" panose="020B0604020202020204" pitchFamily="34" charset="0"/>
                <a:cs typeface="Arial" panose="020B0604020202020204" pitchFamily="34" charset="0"/>
              </a:rPr>
              <a:t> Sanierung</a:t>
            </a:r>
            <a:endParaRPr lang="en-US"/>
          </a:p>
        </c:rich>
      </c:tx>
      <c:overlay val="0"/>
    </c:title>
    <c:autoTitleDeleted val="0"/>
    <c:plotArea>
      <c:layout/>
      <c:lineChart>
        <c:grouping val="standard"/>
        <c:varyColors val="0"/>
        <c:ser>
          <c:idx val="0"/>
          <c:order val="0"/>
          <c:tx>
            <c:strRef>
              <c:f>'B1b Graphik'!$Z$92:$AA$92</c:f>
              <c:strCache>
                <c:ptCount val="1"/>
                <c:pt idx="0">
                  <c:v>Kühlbedarf</c:v>
                </c:pt>
              </c:strCache>
            </c:strRef>
          </c:tx>
          <c:marker>
            <c:symbol val="none"/>
          </c:marker>
          <c:cat>
            <c:numRef>
              <c:f>'B1b Graphik'!$Z$94:$Z$145</c:f>
              <c:numCache>
                <c:formatCode>0</c:formatCode>
                <c:ptCount val="5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numCache>
            </c:numRef>
          </c:cat>
          <c:val>
            <c:numRef>
              <c:f>'B1b Graphik'!$AA$94:$AA$145</c:f>
              <c:numCache>
                <c:formatCode>0</c:formatCode>
                <c:ptCount val="52"/>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29</c:v>
                </c:pt>
                <c:pt idx="22">
                  <c:v>28</c:v>
                </c:pt>
                <c:pt idx="23">
                  <c:v>27</c:v>
                </c:pt>
                <c:pt idx="24">
                  <c:v>26</c:v>
                </c:pt>
                <c:pt idx="25">
                  <c:v>25</c:v>
                </c:pt>
                <c:pt idx="26">
                  <c:v>24</c:v>
                </c:pt>
                <c:pt idx="27">
                  <c:v>23</c:v>
                </c:pt>
                <c:pt idx="28">
                  <c:v>22</c:v>
                </c:pt>
                <c:pt idx="29">
                  <c:v>21</c:v>
                </c:pt>
                <c:pt idx="30">
                  <c:v>20</c:v>
                </c:pt>
                <c:pt idx="31">
                  <c:v>19</c:v>
                </c:pt>
                <c:pt idx="32">
                  <c:v>18</c:v>
                </c:pt>
                <c:pt idx="33">
                  <c:v>17</c:v>
                </c:pt>
                <c:pt idx="34">
                  <c:v>16</c:v>
                </c:pt>
                <c:pt idx="35">
                  <c:v>15</c:v>
                </c:pt>
                <c:pt idx="36">
                  <c:v>14</c:v>
                </c:pt>
                <c:pt idx="37">
                  <c:v>13</c:v>
                </c:pt>
                <c:pt idx="38">
                  <c:v>12</c:v>
                </c:pt>
                <c:pt idx="39">
                  <c:v>11</c:v>
                </c:pt>
                <c:pt idx="40">
                  <c:v>10</c:v>
                </c:pt>
                <c:pt idx="41">
                  <c:v>9</c:v>
                </c:pt>
                <c:pt idx="42">
                  <c:v>8</c:v>
                </c:pt>
                <c:pt idx="43">
                  <c:v>7</c:v>
                </c:pt>
                <c:pt idx="44">
                  <c:v>6</c:v>
                </c:pt>
                <c:pt idx="45">
                  <c:v>5</c:v>
                </c:pt>
                <c:pt idx="46">
                  <c:v>4</c:v>
                </c:pt>
                <c:pt idx="47">
                  <c:v>3</c:v>
                </c:pt>
                <c:pt idx="48">
                  <c:v>2</c:v>
                </c:pt>
                <c:pt idx="49">
                  <c:v>1</c:v>
                </c:pt>
                <c:pt idx="50">
                  <c:v>0</c:v>
                </c:pt>
                <c:pt idx="51">
                  <c:v>0</c:v>
                </c:pt>
              </c:numCache>
            </c:numRef>
          </c:val>
          <c:smooth val="0"/>
          <c:extLst>
            <c:ext xmlns:c16="http://schemas.microsoft.com/office/drawing/2014/chart" uri="{C3380CC4-5D6E-409C-BE32-E72D297353CC}">
              <c16:uniqueId val="{00000000-5C5F-438D-8C1D-960990720F29}"/>
            </c:ext>
          </c:extLst>
        </c:ser>
        <c:dLbls>
          <c:showLegendKey val="0"/>
          <c:showVal val="0"/>
          <c:showCatName val="0"/>
          <c:showSerName val="0"/>
          <c:showPercent val="0"/>
          <c:showBubbleSize val="0"/>
        </c:dLbls>
        <c:smooth val="0"/>
        <c:axId val="104017064"/>
        <c:axId val="104017456"/>
      </c:lineChart>
      <c:catAx>
        <c:axId val="104017064"/>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KB</a:t>
                </a:r>
                <a:r>
                  <a:rPr lang="de-DE" sz="1200" b="1" i="0" u="none" strike="noStrike" baseline="-25000">
                    <a:effectLst/>
                    <a:latin typeface="Arial" panose="020B0604020202020204" pitchFamily="34" charset="0"/>
                    <a:cs typeface="Arial" panose="020B0604020202020204" pitchFamily="34" charset="0"/>
                  </a:rPr>
                  <a:t>SK</a:t>
                </a:r>
                <a:r>
                  <a:rPr lang="en-US">
                    <a:latin typeface="Arial"/>
                    <a:cs typeface="Arial"/>
                  </a:rPr>
                  <a:t> in</a:t>
                </a:r>
                <a:r>
                  <a:rPr lang="en-US"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4017456"/>
        <c:crosses val="autoZero"/>
        <c:auto val="1"/>
        <c:lblAlgn val="ctr"/>
        <c:lblOffset val="100"/>
        <c:tickLblSkip val="2"/>
        <c:tickMarkSkip val="1"/>
        <c:noMultiLvlLbl val="0"/>
      </c:catAx>
      <c:valAx>
        <c:axId val="104017456"/>
        <c:scaling>
          <c:orientation val="minMax"/>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401706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Gebäudehülle LEK</a:t>
            </a:r>
            <a:r>
              <a:rPr lang="de-DE" sz="1800" b="1" i="0" u="none" strike="noStrike" baseline="-25000">
                <a:effectLst/>
                <a:latin typeface="Arial" panose="020B0604020202020204" pitchFamily="34" charset="0"/>
                <a:cs typeface="Arial" panose="020B0604020202020204" pitchFamily="34" charset="0"/>
              </a:rPr>
              <a:t>T</a:t>
            </a:r>
            <a:r>
              <a:rPr lang="de-DE" sz="1800" b="1" i="0" u="none" strike="noStrike" baseline="0">
                <a:effectLst/>
                <a:latin typeface="Arial" panose="020B0604020202020204" pitchFamily="34" charset="0"/>
                <a:cs typeface="Arial" panose="020B0604020202020204" pitchFamily="34" charset="0"/>
              </a:rPr>
              <a:t> Sanierung</a:t>
            </a:r>
            <a:endParaRPr lang="en-US"/>
          </a:p>
        </c:rich>
      </c:tx>
      <c:layout>
        <c:manualLayout>
          <c:xMode val="edge"/>
          <c:yMode val="edge"/>
          <c:x val="0.26766993990420412"/>
          <c:y val="3.8279156019962429E-2"/>
        </c:manualLayout>
      </c:layout>
      <c:overlay val="0"/>
    </c:title>
    <c:autoTitleDeleted val="0"/>
    <c:plotArea>
      <c:layout/>
      <c:lineChart>
        <c:grouping val="standard"/>
        <c:varyColors val="0"/>
        <c:ser>
          <c:idx val="0"/>
          <c:order val="0"/>
          <c:tx>
            <c:strRef>
              <c:f>'B1b Graphik'!$W$92:$X$92</c:f>
              <c:strCache>
                <c:ptCount val="1"/>
                <c:pt idx="0">
                  <c:v>LEKT</c:v>
                </c:pt>
              </c:strCache>
            </c:strRef>
          </c:tx>
          <c:spPr>
            <a:ln>
              <a:solidFill>
                <a:schemeClr val="accent4">
                  <a:lumMod val="75000"/>
                </a:schemeClr>
              </a:solidFill>
            </a:ln>
          </c:spPr>
          <c:marker>
            <c:symbol val="none"/>
          </c:marker>
          <c:cat>
            <c:numRef>
              <c:f>'B1b Graphik'!$W$94:$W$129</c:f>
              <c:numCache>
                <c:formatCode>0</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'B1b Graphik'!$X$94:$X$129</c:f>
              <c:numCache>
                <c:formatCode>0</c:formatCode>
                <c:ptCount val="36"/>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36.923076923076927</c:v>
                </c:pt>
                <c:pt idx="19">
                  <c:v>33.846153846153847</c:v>
                </c:pt>
                <c:pt idx="20">
                  <c:v>30.76923076923077</c:v>
                </c:pt>
                <c:pt idx="21">
                  <c:v>27.692307692307693</c:v>
                </c:pt>
                <c:pt idx="22">
                  <c:v>24.615384615384617</c:v>
                </c:pt>
                <c:pt idx="23">
                  <c:v>21.53846153846154</c:v>
                </c:pt>
                <c:pt idx="24">
                  <c:v>18.461538461538463</c:v>
                </c:pt>
                <c:pt idx="25">
                  <c:v>15.384615384615385</c:v>
                </c:pt>
                <c:pt idx="26">
                  <c:v>12.307692307692308</c:v>
                </c:pt>
                <c:pt idx="27">
                  <c:v>9.2307692307692317</c:v>
                </c:pt>
                <c:pt idx="28">
                  <c:v>6.1538461538461542</c:v>
                </c:pt>
                <c:pt idx="29">
                  <c:v>3.0769230769230771</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3739-4B3F-B201-0BB4E8AF54E0}"/>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LEK</a:t>
                </a:r>
                <a:r>
                  <a:rPr lang="de-DE" sz="1200" b="1" i="0" u="none" strike="noStrike" baseline="-25000">
                    <a:effectLst/>
                    <a:latin typeface="Arial" panose="020B0604020202020204" pitchFamily="34" charset="0"/>
                    <a:cs typeface="Arial" panose="020B0604020202020204" pitchFamily="34" charset="0"/>
                  </a:rPr>
                  <a:t>T</a:t>
                </a:r>
                <a:r>
                  <a:rPr lang="de-DE" sz="1200" b="1" i="0" u="none" strike="noStrike" baseline="0">
                    <a:effectLst/>
                    <a:latin typeface="Arial" panose="020B0604020202020204" pitchFamily="34" charset="0"/>
                    <a:cs typeface="Arial" panose="020B0604020202020204" pitchFamily="34" charset="0"/>
                  </a:rPr>
                  <a:t> (dimensionslos</a:t>
                </a:r>
                <a:r>
                  <a:rPr lang="en-US">
                    <a:latin typeface="Arial"/>
                    <a:cs typeface="Arial"/>
                  </a:rPr>
                  <a:t>)</a:t>
                </a:r>
                <a:endParaRPr lang="en-US"/>
              </a:p>
            </c:rich>
          </c:tx>
          <c:overlay val="0"/>
        </c:title>
        <c:numFmt formatCode="0" sourceLinked="1"/>
        <c:majorTickMark val="out"/>
        <c:minorTickMark val="none"/>
        <c:tickLblPos val="nextTo"/>
        <c:crossAx val="103366304"/>
        <c:crosses val="autoZero"/>
        <c:auto val="1"/>
        <c:lblAlgn val="ctr"/>
        <c:lblOffset val="100"/>
        <c:tickLblSkip val="5"/>
        <c:tickMarkSkip val="5"/>
        <c:noMultiLvlLbl val="0"/>
      </c:catAx>
      <c:valAx>
        <c:axId val="103366304"/>
        <c:scaling>
          <c:orientation val="minMax"/>
          <c:max val="7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Gebäudehülle LEK</a:t>
            </a:r>
            <a:r>
              <a:rPr lang="de-DE" sz="1800" b="1" i="0" u="none" strike="noStrike" baseline="-25000">
                <a:effectLst/>
                <a:latin typeface="Arial" panose="020B0604020202020204" pitchFamily="34" charset="0"/>
                <a:cs typeface="Arial" panose="020B0604020202020204" pitchFamily="34" charset="0"/>
              </a:rPr>
              <a:t>T</a:t>
            </a:r>
            <a:r>
              <a:rPr lang="de-DE" sz="1800" b="1" i="0" u="none" strike="noStrike" baseline="0">
                <a:latin typeface="Arial" panose="020B0604020202020204" pitchFamily="34" charset="0"/>
                <a:cs typeface="Arial" panose="020B0604020202020204" pitchFamily="34" charset="0"/>
              </a:rPr>
              <a:t> </a:t>
            </a:r>
            <a:r>
              <a:rPr lang="en-US">
                <a:latin typeface="Arial"/>
                <a:cs typeface="Arial"/>
              </a:rPr>
              <a:t>Neubau</a:t>
            </a:r>
            <a:endParaRPr lang="en-US"/>
          </a:p>
        </c:rich>
      </c:tx>
      <c:overlay val="0"/>
    </c:title>
    <c:autoTitleDeleted val="0"/>
    <c:plotArea>
      <c:layout/>
      <c:lineChart>
        <c:grouping val="standard"/>
        <c:varyColors val="0"/>
        <c:ser>
          <c:idx val="1"/>
          <c:order val="0"/>
          <c:tx>
            <c:strRef>
              <c:f>'B1b Graphik'!$F$92:$G$92</c:f>
              <c:strCache>
                <c:ptCount val="1"/>
                <c:pt idx="0">
                  <c:v>LEKT</c:v>
                </c:pt>
              </c:strCache>
            </c:strRef>
          </c:tx>
          <c:spPr>
            <a:ln w="28575">
              <a:solidFill>
                <a:schemeClr val="accent4">
                  <a:lumMod val="75000"/>
                </a:schemeClr>
              </a:solidFill>
            </a:ln>
          </c:spPr>
          <c:marker>
            <c:symbol val="none"/>
          </c:marker>
          <c:cat>
            <c:numRef>
              <c:f>'B1b Graphik'!$F$94:$F$129</c:f>
              <c:numCache>
                <c:formatCode>0</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'B1b Graphik'!$G$94:$G$129</c:f>
              <c:numCache>
                <c:formatCode>0</c:formatCode>
                <c:ptCount val="36"/>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36</c:v>
                </c:pt>
                <c:pt idx="17">
                  <c:v>32</c:v>
                </c:pt>
                <c:pt idx="18">
                  <c:v>28</c:v>
                </c:pt>
                <c:pt idx="19">
                  <c:v>24</c:v>
                </c:pt>
                <c:pt idx="20">
                  <c:v>20</c:v>
                </c:pt>
                <c:pt idx="21">
                  <c:v>16</c:v>
                </c:pt>
                <c:pt idx="22">
                  <c:v>12</c:v>
                </c:pt>
                <c:pt idx="23">
                  <c:v>8</c:v>
                </c:pt>
                <c:pt idx="24">
                  <c:v>4</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8CE8-42D3-BBE1-18AEA5C950A3}"/>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LEK</a:t>
                </a:r>
                <a:r>
                  <a:rPr lang="de-DE" sz="1200" b="1" i="0" u="none" strike="noStrike" baseline="-25000">
                    <a:effectLst/>
                    <a:latin typeface="Arial" panose="020B0604020202020204" pitchFamily="34" charset="0"/>
                    <a:cs typeface="Arial" panose="020B0604020202020204" pitchFamily="34" charset="0"/>
                  </a:rPr>
                  <a:t>T</a:t>
                </a:r>
                <a:r>
                  <a:rPr lang="en-US" sz="1200">
                    <a:latin typeface="Arial"/>
                    <a:cs typeface="Arial"/>
                  </a:rPr>
                  <a:t> (</a:t>
                </a:r>
                <a:r>
                  <a:rPr lang="en-US" sz="1000">
                    <a:latin typeface="Arial"/>
                    <a:cs typeface="Arial"/>
                  </a:rPr>
                  <a:t>dimensionslos)</a:t>
                </a:r>
                <a:endParaRPr lang="en-US"/>
              </a:p>
            </c:rich>
          </c:tx>
          <c:overlay val="0"/>
        </c:title>
        <c:numFmt formatCode="0" sourceLinked="1"/>
        <c:majorTickMark val="out"/>
        <c:minorTickMark val="none"/>
        <c:tickLblPos val="nextTo"/>
        <c:txPr>
          <a:bodyPr rot="0" vert="horz"/>
          <a:lstStyle/>
          <a:p>
            <a:pPr>
              <a:defRPr/>
            </a:pPr>
            <a:endParaRPr lang="de-DE"/>
          </a:p>
        </c:txPr>
        <c:crossAx val="103366304"/>
        <c:crosses val="autoZero"/>
        <c:auto val="1"/>
        <c:lblAlgn val="ctr"/>
        <c:lblOffset val="100"/>
        <c:tickLblSkip val="2"/>
        <c:tickMarkSkip val="1"/>
        <c:noMultiLvlLbl val="0"/>
      </c:catAx>
      <c:valAx>
        <c:axId val="103366304"/>
        <c:scaling>
          <c:orientation val="minMax"/>
          <c:max val="7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Emissionen CO</a:t>
            </a:r>
            <a:r>
              <a:rPr lang="de-DE" sz="1800" b="1" i="0" u="none" strike="noStrike" baseline="-25000">
                <a:effectLst/>
                <a:latin typeface="Arial" panose="020B0604020202020204" pitchFamily="34" charset="0"/>
                <a:cs typeface="Arial" panose="020B0604020202020204" pitchFamily="34" charset="0"/>
              </a:rPr>
              <a:t>2</a:t>
            </a:r>
            <a:r>
              <a:rPr lang="de-DE" sz="1800" b="1" i="0" u="none" strike="noStrike" baseline="0">
                <a:effectLst/>
                <a:latin typeface="Arial" panose="020B0604020202020204" pitchFamily="34" charset="0"/>
                <a:cs typeface="Arial" panose="020B0604020202020204" pitchFamily="34" charset="0"/>
              </a:rPr>
              <a:t>-Äquivalente</a:t>
            </a:r>
            <a:r>
              <a:rPr lang="de-DE" b="1">
                <a:latin typeface="Arial" panose="020B0604020202020204" pitchFamily="34" charset="0"/>
                <a:cs typeface="Arial" panose="020B0604020202020204" pitchFamily="34" charset="0"/>
              </a:rPr>
              <a:t> </a:t>
            </a:r>
            <a:r>
              <a:rPr lang="de-DE">
                <a:latin typeface="Arial"/>
                <a:cs typeface="Arial"/>
              </a:rPr>
              <a:t>Neubau</a:t>
            </a:r>
            <a:endParaRPr lang="de-DE"/>
          </a:p>
        </c:rich>
      </c:tx>
      <c:overlay val="0"/>
    </c:title>
    <c:autoTitleDeleted val="0"/>
    <c:plotArea>
      <c:layout/>
      <c:lineChart>
        <c:grouping val="standard"/>
        <c:varyColors val="0"/>
        <c:ser>
          <c:idx val="0"/>
          <c:order val="0"/>
          <c:tx>
            <c:strRef>
              <c:f>'B1 Graphik'!$L$74:$M$74</c:f>
              <c:strCache>
                <c:ptCount val="1"/>
                <c:pt idx="0">
                  <c:v>CO2-Äquivalente</c:v>
                </c:pt>
              </c:strCache>
            </c:strRef>
          </c:tx>
          <c:spPr>
            <a:prstGeom prst="rect">
              <a:avLst/>
            </a:prstGeom>
            <a:ln w="28575">
              <a:solidFill>
                <a:schemeClr val="tx1"/>
              </a:solidFill>
            </a:ln>
          </c:spPr>
          <c:marker>
            <c:symbol val="none"/>
          </c:marker>
          <c:cat>
            <c:numRef>
              <c:f>'B1 Graphik'!$L$76:$L$176</c:f>
              <c:numCache>
                <c:formatCode>0</c:formatCode>
                <c:ptCount val="10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numCache>
            </c:numRef>
          </c:cat>
          <c:val>
            <c:numRef>
              <c:f>'B1 Graphik'!$M$76:$M$176</c:f>
              <c:numCache>
                <c:formatCode>0</c:formatCode>
                <c:ptCount val="101"/>
                <c:pt idx="0">
                  <c:v>135</c:v>
                </c:pt>
                <c:pt idx="1">
                  <c:v>135</c:v>
                </c:pt>
                <c:pt idx="2">
                  <c:v>135</c:v>
                </c:pt>
                <c:pt idx="3">
                  <c:v>135</c:v>
                </c:pt>
                <c:pt idx="4">
                  <c:v>135</c:v>
                </c:pt>
                <c:pt idx="5">
                  <c:v>135</c:v>
                </c:pt>
                <c:pt idx="6">
                  <c:v>135</c:v>
                </c:pt>
                <c:pt idx="7">
                  <c:v>135</c:v>
                </c:pt>
                <c:pt idx="8">
                  <c:v>135</c:v>
                </c:pt>
                <c:pt idx="9">
                  <c:v>135</c:v>
                </c:pt>
                <c:pt idx="10">
                  <c:v>135</c:v>
                </c:pt>
                <c:pt idx="11">
                  <c:v>135</c:v>
                </c:pt>
                <c:pt idx="12">
                  <c:v>135</c:v>
                </c:pt>
                <c:pt idx="13">
                  <c:v>135</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127.89473684210527</c:v>
                </c:pt>
                <c:pt idx="53">
                  <c:v>120.78947368421053</c:v>
                </c:pt>
                <c:pt idx="54">
                  <c:v>113.68421052631579</c:v>
                </c:pt>
                <c:pt idx="55">
                  <c:v>106.57894736842105</c:v>
                </c:pt>
                <c:pt idx="56">
                  <c:v>99.473684210526315</c:v>
                </c:pt>
                <c:pt idx="57">
                  <c:v>92.368421052631589</c:v>
                </c:pt>
                <c:pt idx="58">
                  <c:v>85.26315789473685</c:v>
                </c:pt>
                <c:pt idx="59">
                  <c:v>78.15789473684211</c:v>
                </c:pt>
                <c:pt idx="60">
                  <c:v>71.05263157894737</c:v>
                </c:pt>
                <c:pt idx="61">
                  <c:v>63.947368421052637</c:v>
                </c:pt>
                <c:pt idx="62">
                  <c:v>56.842105263157897</c:v>
                </c:pt>
                <c:pt idx="63">
                  <c:v>49.736842105263158</c:v>
                </c:pt>
                <c:pt idx="64">
                  <c:v>42.631578947368425</c:v>
                </c:pt>
                <c:pt idx="65">
                  <c:v>35.526315789473685</c:v>
                </c:pt>
                <c:pt idx="66">
                  <c:v>28.421052631578949</c:v>
                </c:pt>
                <c:pt idx="67">
                  <c:v>21.315789473684212</c:v>
                </c:pt>
                <c:pt idx="68">
                  <c:v>14.210526315789474</c:v>
                </c:pt>
                <c:pt idx="69">
                  <c:v>7.1052631578947372</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C718-4F9C-A22C-144649A457A5}"/>
            </c:ext>
          </c:extLst>
        </c:ser>
        <c:dLbls>
          <c:showLegendKey val="0"/>
          <c:showVal val="0"/>
          <c:showCatName val="0"/>
          <c:showSerName val="0"/>
          <c:showPercent val="0"/>
          <c:showBubbleSize val="0"/>
        </c:dLbls>
        <c:smooth val="0"/>
        <c:axId val="103372184"/>
        <c:axId val="103364736"/>
      </c:lineChart>
      <c:catAx>
        <c:axId val="103372184"/>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a:latin typeface="Arial"/>
                    <a:cs typeface="Arial"/>
                  </a:rPr>
                  <a:t>CO</a:t>
                </a:r>
                <a:r>
                  <a:rPr lang="de-DE" baseline="-25000">
                    <a:latin typeface="Arial"/>
                    <a:cs typeface="Arial"/>
                  </a:rPr>
                  <a:t>2</a:t>
                </a:r>
                <a:r>
                  <a:rPr lang="de-DE" baseline="0">
                    <a:latin typeface="Arial"/>
                    <a:cs typeface="Arial"/>
                  </a:rPr>
                  <a:t>-Äquivalente</a:t>
                </a:r>
                <a:r>
                  <a:rPr lang="de-DE">
                    <a:latin typeface="Arial"/>
                    <a:cs typeface="Arial"/>
                  </a:rPr>
                  <a:t> in</a:t>
                </a:r>
                <a:r>
                  <a:rPr lang="de-DE" baseline="0">
                    <a:latin typeface="Arial"/>
                    <a:cs typeface="Arial"/>
                  </a:rPr>
                  <a:t> </a:t>
                </a:r>
                <a:r>
                  <a:rPr lang="de-DE">
                    <a:latin typeface="Arial"/>
                    <a:cs typeface="Arial"/>
                  </a:rPr>
                  <a:t>kg/(m²a)</a:t>
                </a:r>
                <a:endParaRPr lang="de-DE"/>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64736"/>
        <c:crosses val="autoZero"/>
        <c:auto val="1"/>
        <c:lblAlgn val="ctr"/>
        <c:lblOffset val="100"/>
        <c:tickLblSkip val="5"/>
        <c:tickMarkSkip val="5"/>
        <c:noMultiLvlLbl val="0"/>
      </c:catAx>
      <c:valAx>
        <c:axId val="103364736"/>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2184"/>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000000000000004" r="0.7000000000000004" t="0.78740157499999996"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Heizwärmebedarf HWB</a:t>
            </a:r>
            <a:r>
              <a:rPr lang="de-DE" sz="1800" b="1" i="0" u="none" strike="noStrike" baseline="0">
                <a:latin typeface="Arial" panose="020B0604020202020204" pitchFamily="34" charset="0"/>
                <a:cs typeface="Arial" panose="020B0604020202020204" pitchFamily="34" charset="0"/>
              </a:rPr>
              <a:t> </a:t>
            </a:r>
            <a:r>
              <a:rPr lang="en-US">
                <a:latin typeface="Arial"/>
                <a:cs typeface="Arial"/>
              </a:rPr>
              <a:t>Neubau</a:t>
            </a:r>
            <a:endParaRPr lang="en-US"/>
          </a:p>
        </c:rich>
      </c:tx>
      <c:overlay val="0"/>
    </c:title>
    <c:autoTitleDeleted val="0"/>
    <c:plotArea>
      <c:layout/>
      <c:lineChart>
        <c:grouping val="standard"/>
        <c:varyColors val="0"/>
        <c:ser>
          <c:idx val="1"/>
          <c:order val="0"/>
          <c:tx>
            <c:strRef>
              <c:f>'B1 Graphik'!$C$74:$D$74</c:f>
              <c:strCache>
                <c:ptCount val="1"/>
                <c:pt idx="0">
                  <c:v>Heizwärmebedarf</c:v>
                </c:pt>
              </c:strCache>
            </c:strRef>
          </c:tx>
          <c:spPr>
            <a:ln w="28575">
              <a:solidFill>
                <a:srgbClr val="C00000"/>
              </a:solidFill>
            </a:ln>
          </c:spPr>
          <c:marker>
            <c:symbol val="none"/>
          </c:marker>
          <c:cat>
            <c:numRef>
              <c:f>'B1 Graphik'!$C$76:$C$102</c:f>
              <c:numCache>
                <c:formatCode>0</c:formatCode>
                <c:ptCount val="27"/>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numCache>
            </c:numRef>
          </c:cat>
          <c:val>
            <c:numRef>
              <c:f>'B1 Graphik'!$D$76:$D$102</c:f>
              <c:numCache>
                <c:formatCode>0</c:formatCode>
                <c:ptCount val="27"/>
                <c:pt idx="0">
                  <c:v>50</c:v>
                </c:pt>
                <c:pt idx="1">
                  <c:v>50</c:v>
                </c:pt>
                <c:pt idx="2">
                  <c:v>50</c:v>
                </c:pt>
                <c:pt idx="3">
                  <c:v>50</c:v>
                </c:pt>
                <c:pt idx="4">
                  <c:v>50</c:v>
                </c:pt>
                <c:pt idx="5">
                  <c:v>50</c:v>
                </c:pt>
                <c:pt idx="6">
                  <c:v>50</c:v>
                </c:pt>
                <c:pt idx="7">
                  <c:v>45.833333333333336</c:v>
                </c:pt>
                <c:pt idx="8">
                  <c:v>41.666666666666671</c:v>
                </c:pt>
                <c:pt idx="9">
                  <c:v>37.5</c:v>
                </c:pt>
                <c:pt idx="10">
                  <c:v>33.333333333333336</c:v>
                </c:pt>
                <c:pt idx="11">
                  <c:v>29.166666666666668</c:v>
                </c:pt>
                <c:pt idx="12">
                  <c:v>25</c:v>
                </c:pt>
                <c:pt idx="13">
                  <c:v>20.833333333333336</c:v>
                </c:pt>
                <c:pt idx="14">
                  <c:v>16.666666666666668</c:v>
                </c:pt>
                <c:pt idx="15">
                  <c:v>12.5</c:v>
                </c:pt>
                <c:pt idx="16">
                  <c:v>8.3333333333333339</c:v>
                </c:pt>
                <c:pt idx="17">
                  <c:v>4.166666666666667</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0-E94B-4B21-BD3F-96BBA55AE957}"/>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HWB</a:t>
                </a:r>
                <a:r>
                  <a:rPr lang="en-US" sz="1200">
                    <a:latin typeface="Arial"/>
                    <a:cs typeface="Arial"/>
                  </a:rPr>
                  <a:t> </a:t>
                </a:r>
                <a:r>
                  <a:rPr lang="en-US" sz="1000">
                    <a:latin typeface="Arial"/>
                    <a:cs typeface="Arial"/>
                  </a:rPr>
                  <a:t>in</a:t>
                </a:r>
                <a:r>
                  <a:rPr lang="en-US" sz="1000"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txPr>
          <a:bodyPr rot="0" vert="horz"/>
          <a:lstStyle/>
          <a:p>
            <a:pPr>
              <a:defRPr/>
            </a:pPr>
            <a:endParaRPr lang="de-DE"/>
          </a:p>
        </c:txPr>
        <c:crossAx val="103366304"/>
        <c:crosses val="autoZero"/>
        <c:auto val="1"/>
        <c:lblAlgn val="ctr"/>
        <c:lblOffset val="100"/>
        <c:tickLblSkip val="2"/>
        <c:tickMarkSkip val="1"/>
        <c:noMultiLvlLbl val="0"/>
      </c:catAx>
      <c:valAx>
        <c:axId val="103366304"/>
        <c:scaling>
          <c:orientation val="minMax"/>
          <c:max val="10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Kühlbedarf KB</a:t>
            </a:r>
            <a:r>
              <a:rPr lang="de-DE" sz="1800" b="1" i="0" u="none" strike="noStrike" baseline="0">
                <a:latin typeface="Arial" panose="020B0604020202020204" pitchFamily="34" charset="0"/>
                <a:cs typeface="Arial" panose="020B0604020202020204" pitchFamily="34" charset="0"/>
              </a:rPr>
              <a:t> </a:t>
            </a:r>
            <a:r>
              <a:rPr lang="en-US" sz="1800" b="1" i="0" u="none" strike="noStrike" baseline="0">
                <a:latin typeface="Arial" panose="020B0604020202020204" pitchFamily="34" charset="0"/>
                <a:cs typeface="Arial" panose="020B0604020202020204" pitchFamily="34" charset="0"/>
              </a:rPr>
              <a:t>N</a:t>
            </a:r>
            <a:r>
              <a:rPr lang="en-US"/>
              <a:t>eubau</a:t>
            </a:r>
          </a:p>
        </c:rich>
      </c:tx>
      <c:overlay val="0"/>
    </c:title>
    <c:autoTitleDeleted val="0"/>
    <c:plotArea>
      <c:layout/>
      <c:lineChart>
        <c:grouping val="standard"/>
        <c:varyColors val="0"/>
        <c:ser>
          <c:idx val="0"/>
          <c:order val="0"/>
          <c:tx>
            <c:strRef>
              <c:f>'B1 Graphik'!$F$74:$G$74</c:f>
              <c:strCache>
                <c:ptCount val="1"/>
                <c:pt idx="0">
                  <c:v>Kühlbedarf</c:v>
                </c:pt>
              </c:strCache>
            </c:strRef>
          </c:tx>
          <c:marker>
            <c:symbol val="none"/>
          </c:marker>
          <c:cat>
            <c:numRef>
              <c:f>'B1 Graphik'!$F$76:$F$100</c:f>
              <c:numCache>
                <c:formatCode>0</c:formatCode>
                <c:ptCount val="25"/>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numCache>
            </c:numRef>
          </c:cat>
          <c:val>
            <c:numRef>
              <c:f>'B1 Graphik'!$G$76:$G$100</c:f>
              <c:numCache>
                <c:formatCode>0</c:formatCode>
                <c:ptCount val="25"/>
                <c:pt idx="0">
                  <c:v>45</c:v>
                </c:pt>
                <c:pt idx="1">
                  <c:v>40.5</c:v>
                </c:pt>
                <c:pt idx="2">
                  <c:v>36</c:v>
                </c:pt>
                <c:pt idx="3">
                  <c:v>31.5</c:v>
                </c:pt>
                <c:pt idx="4">
                  <c:v>27</c:v>
                </c:pt>
                <c:pt idx="5">
                  <c:v>22.5</c:v>
                </c:pt>
                <c:pt idx="6">
                  <c:v>18</c:v>
                </c:pt>
                <c:pt idx="7">
                  <c:v>13.5</c:v>
                </c:pt>
                <c:pt idx="8">
                  <c:v>9</c:v>
                </c:pt>
                <c:pt idx="9">
                  <c:v>4.5</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5B0D-4AFE-97C7-335AD5F6475A}"/>
            </c:ext>
          </c:extLst>
        </c:ser>
        <c:dLbls>
          <c:showLegendKey val="0"/>
          <c:showVal val="0"/>
          <c:showCatName val="0"/>
          <c:showSerName val="0"/>
          <c:showPercent val="0"/>
          <c:showBubbleSize val="0"/>
        </c:dLbls>
        <c:smooth val="0"/>
        <c:axId val="104017064"/>
        <c:axId val="104017456"/>
      </c:lineChart>
      <c:catAx>
        <c:axId val="104017064"/>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KB</a:t>
                </a:r>
                <a:r>
                  <a:rPr lang="en-US">
                    <a:latin typeface="Arial"/>
                    <a:cs typeface="Arial"/>
                  </a:rPr>
                  <a:t> in</a:t>
                </a:r>
                <a:r>
                  <a:rPr lang="en-US"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4017456"/>
        <c:crosses val="autoZero"/>
        <c:auto val="1"/>
        <c:lblAlgn val="ctr"/>
        <c:lblOffset val="100"/>
        <c:tickLblSkip val="2"/>
        <c:tickMarkSkip val="1"/>
        <c:noMultiLvlLbl val="0"/>
      </c:catAx>
      <c:valAx>
        <c:axId val="104017456"/>
        <c:scaling>
          <c:orientation val="minMax"/>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401706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Primärenergiebedarf PEB Sanierung</a:t>
            </a:r>
            <a:endParaRPr lang="de-DE"/>
          </a:p>
        </c:rich>
      </c:tx>
      <c:overlay val="0"/>
    </c:title>
    <c:autoTitleDeleted val="0"/>
    <c:plotArea>
      <c:layout/>
      <c:lineChart>
        <c:grouping val="standard"/>
        <c:varyColors val="0"/>
        <c:ser>
          <c:idx val="0"/>
          <c:order val="0"/>
          <c:tx>
            <c:strRef>
              <c:f>'B1 Graphik'!$W$74:$X$74</c:f>
              <c:strCache>
                <c:ptCount val="1"/>
                <c:pt idx="0">
                  <c:v>Primärenergiebedarf</c:v>
                </c:pt>
              </c:strCache>
            </c:strRef>
          </c:tx>
          <c:spPr>
            <a:ln w="28575">
              <a:solidFill>
                <a:schemeClr val="accent6">
                  <a:lumMod val="75000"/>
                </a:schemeClr>
              </a:solidFill>
            </a:ln>
          </c:spPr>
          <c:marker>
            <c:symbol val="none"/>
          </c:marker>
          <c:cat>
            <c:numRef>
              <c:f>'B1 Graphik'!$W$76:$W$118</c:f>
              <c:numCache>
                <c:formatCode>0</c:formatCode>
                <c:ptCount val="4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numCache>
            </c:numRef>
          </c:cat>
          <c:val>
            <c:numRef>
              <c:f>'B1 Graphik'!$X$76:$X$118</c:f>
              <c:numCache>
                <c:formatCode>0</c:formatCode>
                <c:ptCount val="43"/>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115.71428571428571</c:v>
                </c:pt>
                <c:pt idx="14">
                  <c:v>111.42857142857142</c:v>
                </c:pt>
                <c:pt idx="15">
                  <c:v>107.14285714285714</c:v>
                </c:pt>
                <c:pt idx="16">
                  <c:v>102.85714285714285</c:v>
                </c:pt>
                <c:pt idx="17">
                  <c:v>98.571428571428569</c:v>
                </c:pt>
                <c:pt idx="18">
                  <c:v>94.285714285714278</c:v>
                </c:pt>
                <c:pt idx="19">
                  <c:v>90</c:v>
                </c:pt>
                <c:pt idx="20">
                  <c:v>85.714285714285708</c:v>
                </c:pt>
                <c:pt idx="21">
                  <c:v>81.428571428571431</c:v>
                </c:pt>
                <c:pt idx="22">
                  <c:v>77.142857142857139</c:v>
                </c:pt>
                <c:pt idx="23">
                  <c:v>72.857142857142847</c:v>
                </c:pt>
                <c:pt idx="24">
                  <c:v>68.571428571428569</c:v>
                </c:pt>
                <c:pt idx="25">
                  <c:v>64.285714285714278</c:v>
                </c:pt>
                <c:pt idx="26">
                  <c:v>60</c:v>
                </c:pt>
                <c:pt idx="27">
                  <c:v>55.714285714285708</c:v>
                </c:pt>
                <c:pt idx="28">
                  <c:v>51.428571428571423</c:v>
                </c:pt>
                <c:pt idx="29">
                  <c:v>47.142857142857139</c:v>
                </c:pt>
                <c:pt idx="30">
                  <c:v>42.857142857142854</c:v>
                </c:pt>
                <c:pt idx="31">
                  <c:v>38.571428571428569</c:v>
                </c:pt>
                <c:pt idx="32">
                  <c:v>34.285714285714285</c:v>
                </c:pt>
                <c:pt idx="33">
                  <c:v>30</c:v>
                </c:pt>
                <c:pt idx="34">
                  <c:v>25.714285714285712</c:v>
                </c:pt>
                <c:pt idx="35">
                  <c:v>21.428571428571427</c:v>
                </c:pt>
                <c:pt idx="36">
                  <c:v>17.142857142857142</c:v>
                </c:pt>
                <c:pt idx="37">
                  <c:v>12.857142857142856</c:v>
                </c:pt>
                <c:pt idx="38">
                  <c:v>8.5714285714285712</c:v>
                </c:pt>
                <c:pt idx="39">
                  <c:v>4.2857142857142856</c:v>
                </c:pt>
                <c:pt idx="40">
                  <c:v>0</c:v>
                </c:pt>
                <c:pt idx="41">
                  <c:v>0</c:v>
                </c:pt>
                <c:pt idx="42">
                  <c:v>0</c:v>
                </c:pt>
              </c:numCache>
            </c:numRef>
          </c:val>
          <c:smooth val="0"/>
          <c:extLst>
            <c:ext xmlns:c16="http://schemas.microsoft.com/office/drawing/2014/chart" uri="{C3380CC4-5D6E-409C-BE32-E72D297353CC}">
              <c16:uniqueId val="{00000001-C219-4934-88DC-785EFF8D09EE}"/>
            </c:ext>
          </c:extLst>
        </c:ser>
        <c:dLbls>
          <c:showLegendKey val="0"/>
          <c:showVal val="0"/>
          <c:showCatName val="0"/>
          <c:showSerName val="0"/>
          <c:showPercent val="0"/>
          <c:showBubbleSize val="0"/>
        </c:dLbls>
        <c:smooth val="0"/>
        <c:axId val="103371008"/>
        <c:axId val="103371792"/>
      </c:lineChart>
      <c:catAx>
        <c:axId val="103371008"/>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sz="1200" b="1" i="0" u="none" strike="noStrike" baseline="0">
                    <a:effectLst/>
                    <a:latin typeface="Arial" panose="020B0604020202020204" pitchFamily="34" charset="0"/>
                    <a:cs typeface="Arial" panose="020B0604020202020204" pitchFamily="34" charset="0"/>
                  </a:rPr>
                  <a:t>PEB</a:t>
                </a:r>
                <a:r>
                  <a:rPr lang="de-DE">
                    <a:latin typeface="Arial"/>
                    <a:cs typeface="Arial"/>
                  </a:rPr>
                  <a:t> in</a:t>
                </a:r>
                <a:r>
                  <a:rPr lang="de-DE" baseline="0">
                    <a:latin typeface="Arial"/>
                    <a:cs typeface="Arial"/>
                  </a:rPr>
                  <a:t> </a:t>
                </a:r>
                <a:r>
                  <a:rPr lang="de-DE">
                    <a:latin typeface="Arial"/>
                    <a:cs typeface="Arial"/>
                  </a:rPr>
                  <a:t>kWh/(m²a)</a:t>
                </a:r>
                <a:endParaRPr lang="de-DE"/>
              </a:p>
            </c:rich>
          </c:tx>
          <c:overlay val="0"/>
        </c:title>
        <c:numFmt formatCode="0" sourceLinked="1"/>
        <c:majorTickMark val="out"/>
        <c:minorTickMark val="none"/>
        <c:tickLblPos val="nextTo"/>
        <c:txPr>
          <a:bodyPr rot="0" vert="horz" anchor="ctr" anchorCtr="0"/>
          <a:lstStyle/>
          <a:p>
            <a:pPr>
              <a:defRPr sz="1000" b="0" i="0" u="none" strike="noStrike">
                <a:solidFill>
                  <a:srgbClr val="000000"/>
                </a:solidFill>
                <a:latin typeface="Calibri"/>
                <a:ea typeface="Calibri"/>
                <a:cs typeface="Calibri"/>
              </a:defRPr>
            </a:pPr>
            <a:endParaRPr lang="de-DE"/>
          </a:p>
        </c:txPr>
        <c:crossAx val="103371792"/>
        <c:crosses val="autoZero"/>
        <c:auto val="0"/>
        <c:lblAlgn val="ctr"/>
        <c:lblOffset val="100"/>
        <c:tickLblSkip val="4"/>
        <c:tickMarkSkip val="2"/>
        <c:noMultiLvlLbl val="0"/>
      </c:catAx>
      <c:valAx>
        <c:axId val="103371792"/>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1008"/>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Emissionen CO</a:t>
            </a:r>
            <a:r>
              <a:rPr lang="de-DE" sz="1800" b="1" i="0" u="none" strike="noStrike" baseline="-25000">
                <a:effectLst/>
                <a:latin typeface="Arial" panose="020B0604020202020204" pitchFamily="34" charset="0"/>
                <a:cs typeface="Arial" panose="020B0604020202020204" pitchFamily="34" charset="0"/>
              </a:rPr>
              <a:t>2</a:t>
            </a:r>
            <a:r>
              <a:rPr lang="de-DE" sz="1800" b="1" i="0" u="none" strike="noStrike" baseline="0">
                <a:effectLst/>
                <a:latin typeface="Arial" panose="020B0604020202020204" pitchFamily="34" charset="0"/>
                <a:cs typeface="Arial" panose="020B0604020202020204" pitchFamily="34" charset="0"/>
              </a:rPr>
              <a:t>-Äquivalente</a:t>
            </a:r>
            <a:r>
              <a:rPr lang="de-DE" b="1">
                <a:latin typeface="Arial" panose="020B0604020202020204" pitchFamily="34" charset="0"/>
                <a:cs typeface="Arial" panose="020B0604020202020204" pitchFamily="34" charset="0"/>
              </a:rPr>
              <a:t> </a:t>
            </a:r>
            <a:r>
              <a:rPr lang="de-DE" b="1">
                <a:latin typeface="Arial"/>
                <a:cs typeface="Arial"/>
              </a:rPr>
              <a:t>Sanierung</a:t>
            </a:r>
            <a:endParaRPr lang="de-DE"/>
          </a:p>
        </c:rich>
      </c:tx>
      <c:overlay val="0"/>
    </c:title>
    <c:autoTitleDeleted val="0"/>
    <c:plotArea>
      <c:layout/>
      <c:lineChart>
        <c:grouping val="standard"/>
        <c:varyColors val="0"/>
        <c:ser>
          <c:idx val="0"/>
          <c:order val="0"/>
          <c:tx>
            <c:strRef>
              <c:f>'B1 Graphik'!$Z$74:$AA$74</c:f>
              <c:strCache>
                <c:ptCount val="1"/>
                <c:pt idx="0">
                  <c:v>CO2-Äquivalente</c:v>
                </c:pt>
              </c:strCache>
            </c:strRef>
          </c:tx>
          <c:spPr>
            <a:ln w="28575">
              <a:solidFill>
                <a:schemeClr val="tx1">
                  <a:lumMod val="95000"/>
                  <a:lumOff val="5000"/>
                </a:schemeClr>
              </a:solidFill>
            </a:ln>
          </c:spPr>
          <c:marker>
            <c:symbol val="none"/>
          </c:marker>
          <c:cat>
            <c:numRef>
              <c:f>'B1 Graphik'!$Z$76:$Z$176</c:f>
              <c:numCache>
                <c:formatCode>0</c:formatCode>
                <c:ptCount val="10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numCache>
            </c:numRef>
          </c:cat>
          <c:val>
            <c:numRef>
              <c:f>'B1 Graphik'!$AA$76:$AA$176</c:f>
              <c:numCache>
                <c:formatCode>0</c:formatCode>
                <c:ptCount val="101"/>
                <c:pt idx="0">
                  <c:v>135</c:v>
                </c:pt>
                <c:pt idx="1">
                  <c:v>135</c:v>
                </c:pt>
                <c:pt idx="2">
                  <c:v>135</c:v>
                </c:pt>
                <c:pt idx="3">
                  <c:v>135</c:v>
                </c:pt>
                <c:pt idx="4">
                  <c:v>135</c:v>
                </c:pt>
                <c:pt idx="5">
                  <c:v>135</c:v>
                </c:pt>
                <c:pt idx="6">
                  <c:v>135</c:v>
                </c:pt>
                <c:pt idx="7">
                  <c:v>135</c:v>
                </c:pt>
                <c:pt idx="8">
                  <c:v>135</c:v>
                </c:pt>
                <c:pt idx="9">
                  <c:v>135</c:v>
                </c:pt>
                <c:pt idx="10">
                  <c:v>135</c:v>
                </c:pt>
                <c:pt idx="11">
                  <c:v>135</c:v>
                </c:pt>
                <c:pt idx="12">
                  <c:v>135</c:v>
                </c:pt>
                <c:pt idx="13">
                  <c:v>135</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135</c:v>
                </c:pt>
                <c:pt idx="53">
                  <c:v>135</c:v>
                </c:pt>
                <c:pt idx="54">
                  <c:v>135</c:v>
                </c:pt>
                <c:pt idx="55">
                  <c:v>135</c:v>
                </c:pt>
                <c:pt idx="56">
                  <c:v>135</c:v>
                </c:pt>
                <c:pt idx="57">
                  <c:v>135</c:v>
                </c:pt>
                <c:pt idx="58">
                  <c:v>130.90909090909091</c:v>
                </c:pt>
                <c:pt idx="59">
                  <c:v>126.81818181818181</c:v>
                </c:pt>
                <c:pt idx="60">
                  <c:v>122.72727272727272</c:v>
                </c:pt>
                <c:pt idx="61">
                  <c:v>118.63636363636364</c:v>
                </c:pt>
                <c:pt idx="62">
                  <c:v>114.54545454545455</c:v>
                </c:pt>
                <c:pt idx="63">
                  <c:v>110.45454545454545</c:v>
                </c:pt>
                <c:pt idx="64">
                  <c:v>106.36363636363636</c:v>
                </c:pt>
                <c:pt idx="65">
                  <c:v>102.27272727272727</c:v>
                </c:pt>
                <c:pt idx="66">
                  <c:v>98.181818181818187</c:v>
                </c:pt>
                <c:pt idx="67">
                  <c:v>94.090909090909093</c:v>
                </c:pt>
                <c:pt idx="68">
                  <c:v>90</c:v>
                </c:pt>
                <c:pt idx="69">
                  <c:v>85.909090909090907</c:v>
                </c:pt>
                <c:pt idx="70">
                  <c:v>81.818181818181813</c:v>
                </c:pt>
                <c:pt idx="71">
                  <c:v>77.72727272727272</c:v>
                </c:pt>
                <c:pt idx="72">
                  <c:v>73.63636363636364</c:v>
                </c:pt>
                <c:pt idx="73">
                  <c:v>69.545454545454547</c:v>
                </c:pt>
                <c:pt idx="74">
                  <c:v>65.454545454545453</c:v>
                </c:pt>
                <c:pt idx="75">
                  <c:v>61.36363636363636</c:v>
                </c:pt>
                <c:pt idx="76">
                  <c:v>57.272727272727273</c:v>
                </c:pt>
                <c:pt idx="77">
                  <c:v>53.18181818181818</c:v>
                </c:pt>
                <c:pt idx="78">
                  <c:v>49.090909090909093</c:v>
                </c:pt>
                <c:pt idx="79">
                  <c:v>45</c:v>
                </c:pt>
                <c:pt idx="80">
                  <c:v>40.909090909090907</c:v>
                </c:pt>
                <c:pt idx="81">
                  <c:v>36.81818181818182</c:v>
                </c:pt>
                <c:pt idx="82">
                  <c:v>32.727272727272727</c:v>
                </c:pt>
                <c:pt idx="83">
                  <c:v>28.636363636363637</c:v>
                </c:pt>
                <c:pt idx="84">
                  <c:v>24.545454545454547</c:v>
                </c:pt>
                <c:pt idx="85">
                  <c:v>20.454545454545453</c:v>
                </c:pt>
                <c:pt idx="86">
                  <c:v>16.363636363636363</c:v>
                </c:pt>
                <c:pt idx="87">
                  <c:v>12.272727272727273</c:v>
                </c:pt>
                <c:pt idx="88">
                  <c:v>8.1818181818181817</c:v>
                </c:pt>
                <c:pt idx="89">
                  <c:v>4.0909090909090908</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1-0A5C-4D92-B89D-E35636282DA0}"/>
            </c:ext>
          </c:extLst>
        </c:ser>
        <c:dLbls>
          <c:showLegendKey val="0"/>
          <c:showVal val="0"/>
          <c:showCatName val="0"/>
          <c:showSerName val="0"/>
          <c:showPercent val="0"/>
          <c:showBubbleSize val="0"/>
        </c:dLbls>
        <c:smooth val="0"/>
        <c:axId val="103372184"/>
        <c:axId val="103364736"/>
      </c:lineChart>
      <c:catAx>
        <c:axId val="103372184"/>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a:latin typeface="Arial"/>
                    <a:cs typeface="Arial"/>
                  </a:rPr>
                  <a:t>CO</a:t>
                </a:r>
                <a:r>
                  <a:rPr lang="de-DE" baseline="-25000">
                    <a:latin typeface="Arial"/>
                    <a:cs typeface="Arial"/>
                  </a:rPr>
                  <a:t>2</a:t>
                </a:r>
                <a:r>
                  <a:rPr lang="de-DE" baseline="0">
                    <a:latin typeface="Arial"/>
                    <a:cs typeface="Arial"/>
                  </a:rPr>
                  <a:t>-Äquivalente</a:t>
                </a:r>
                <a:r>
                  <a:rPr lang="de-DE">
                    <a:latin typeface="Arial"/>
                    <a:cs typeface="Arial"/>
                  </a:rPr>
                  <a:t> in</a:t>
                </a:r>
                <a:r>
                  <a:rPr lang="de-DE" baseline="0">
                    <a:latin typeface="Arial"/>
                    <a:cs typeface="Arial"/>
                  </a:rPr>
                  <a:t> </a:t>
                </a:r>
                <a:r>
                  <a:rPr lang="de-DE">
                    <a:latin typeface="Arial"/>
                    <a:cs typeface="Arial"/>
                  </a:rPr>
                  <a:t>kg/(m²a)</a:t>
                </a:r>
                <a:endParaRPr lang="de-DE"/>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64736"/>
        <c:crosses val="autoZero"/>
        <c:auto val="1"/>
        <c:lblAlgn val="ctr"/>
        <c:lblOffset val="100"/>
        <c:tickLblSkip val="5"/>
        <c:tickMarkSkip val="5"/>
        <c:noMultiLvlLbl val="0"/>
      </c:catAx>
      <c:valAx>
        <c:axId val="103364736"/>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2184"/>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000000000000004" r="0.7000000000000004" t="0.78740157499999996"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Heizwärmebedarf HWB Sanierung</a:t>
            </a:r>
            <a:endParaRPr lang="en-US"/>
          </a:p>
        </c:rich>
      </c:tx>
      <c:overlay val="0"/>
    </c:title>
    <c:autoTitleDeleted val="0"/>
    <c:plotArea>
      <c:layout/>
      <c:lineChart>
        <c:grouping val="standard"/>
        <c:varyColors val="0"/>
        <c:ser>
          <c:idx val="0"/>
          <c:order val="0"/>
          <c:tx>
            <c:strRef>
              <c:f>'B1 Graphik'!$Q$74:$R$74</c:f>
              <c:strCache>
                <c:ptCount val="1"/>
                <c:pt idx="0">
                  <c:v>Heizwärmebedarf</c:v>
                </c:pt>
              </c:strCache>
            </c:strRef>
          </c:tx>
          <c:spPr>
            <a:ln>
              <a:solidFill>
                <a:srgbClr val="C00000"/>
              </a:solidFill>
            </a:ln>
          </c:spPr>
          <c:marker>
            <c:symbol val="none"/>
          </c:marker>
          <c:cat>
            <c:numRef>
              <c:f>'B1 Graphik'!$Q$76:$Q$141</c:f>
              <c:numCache>
                <c:formatCode>0</c:formatCode>
                <c:ptCount val="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numCache>
            </c:numRef>
          </c:cat>
          <c:val>
            <c:numRef>
              <c:f>'B1 Graphik'!$R$76:$R$141</c:f>
              <c:numCache>
                <c:formatCode>0</c:formatCode>
                <c:ptCount val="6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48.484848484848484</c:v>
                </c:pt>
                <c:pt idx="27">
                  <c:v>46.969696969696969</c:v>
                </c:pt>
                <c:pt idx="28">
                  <c:v>45.454545454545453</c:v>
                </c:pt>
                <c:pt idx="29">
                  <c:v>43.939393939393938</c:v>
                </c:pt>
                <c:pt idx="30">
                  <c:v>42.424242424242422</c:v>
                </c:pt>
                <c:pt idx="31">
                  <c:v>40.909090909090907</c:v>
                </c:pt>
                <c:pt idx="32">
                  <c:v>39.393939393939391</c:v>
                </c:pt>
                <c:pt idx="33">
                  <c:v>37.878787878787875</c:v>
                </c:pt>
                <c:pt idx="34">
                  <c:v>36.36363636363636</c:v>
                </c:pt>
                <c:pt idx="35">
                  <c:v>34.848484848484851</c:v>
                </c:pt>
                <c:pt idx="36">
                  <c:v>33.333333333333336</c:v>
                </c:pt>
                <c:pt idx="37">
                  <c:v>31.818181818181817</c:v>
                </c:pt>
                <c:pt idx="38">
                  <c:v>30.303030303030305</c:v>
                </c:pt>
                <c:pt idx="39">
                  <c:v>28.787878787878789</c:v>
                </c:pt>
                <c:pt idx="40">
                  <c:v>27.272727272727273</c:v>
                </c:pt>
                <c:pt idx="41">
                  <c:v>25.757575757575758</c:v>
                </c:pt>
                <c:pt idx="42">
                  <c:v>24.242424242424242</c:v>
                </c:pt>
                <c:pt idx="43">
                  <c:v>22.727272727272727</c:v>
                </c:pt>
                <c:pt idx="44">
                  <c:v>21.212121212121211</c:v>
                </c:pt>
                <c:pt idx="45">
                  <c:v>19.696969696969695</c:v>
                </c:pt>
                <c:pt idx="46">
                  <c:v>18.18181818181818</c:v>
                </c:pt>
                <c:pt idx="47">
                  <c:v>16.666666666666668</c:v>
                </c:pt>
                <c:pt idx="48">
                  <c:v>15.151515151515152</c:v>
                </c:pt>
                <c:pt idx="49">
                  <c:v>13.636363636363637</c:v>
                </c:pt>
                <c:pt idx="50">
                  <c:v>12.121212121212121</c:v>
                </c:pt>
                <c:pt idx="51">
                  <c:v>10.606060606060606</c:v>
                </c:pt>
                <c:pt idx="52">
                  <c:v>9.0909090909090899</c:v>
                </c:pt>
                <c:pt idx="53">
                  <c:v>7.5757575757575761</c:v>
                </c:pt>
                <c:pt idx="54">
                  <c:v>6.0606060606060606</c:v>
                </c:pt>
                <c:pt idx="55">
                  <c:v>4.545454545454545</c:v>
                </c:pt>
                <c:pt idx="56">
                  <c:v>3.0303030303030303</c:v>
                </c:pt>
                <c:pt idx="57">
                  <c:v>1.5151515151515151</c:v>
                </c:pt>
                <c:pt idx="58">
                  <c:v>0</c:v>
                </c:pt>
                <c:pt idx="59">
                  <c:v>0</c:v>
                </c:pt>
                <c:pt idx="60">
                  <c:v>0</c:v>
                </c:pt>
                <c:pt idx="61">
                  <c:v>0</c:v>
                </c:pt>
                <c:pt idx="62">
                  <c:v>0</c:v>
                </c:pt>
                <c:pt idx="63">
                  <c:v>0</c:v>
                </c:pt>
                <c:pt idx="64">
                  <c:v>0</c:v>
                </c:pt>
                <c:pt idx="65">
                  <c:v>0</c:v>
                </c:pt>
              </c:numCache>
            </c:numRef>
          </c:val>
          <c:smooth val="0"/>
          <c:extLst>
            <c:ext xmlns:c16="http://schemas.microsoft.com/office/drawing/2014/chart" uri="{C3380CC4-5D6E-409C-BE32-E72D297353CC}">
              <c16:uniqueId val="{00000001-0DA6-4037-AB3E-A2174E404BCA}"/>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HWB</a:t>
                </a:r>
                <a:r>
                  <a:rPr lang="en-US" sz="1200">
                    <a:latin typeface="Arial"/>
                    <a:cs typeface="Arial"/>
                  </a:rPr>
                  <a:t> </a:t>
                </a:r>
                <a:r>
                  <a:rPr lang="en-US" sz="1000">
                    <a:latin typeface="Arial"/>
                    <a:cs typeface="Arial"/>
                  </a:rPr>
                  <a:t>in</a:t>
                </a:r>
                <a:r>
                  <a:rPr lang="en-US" sz="1000"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3366304"/>
        <c:crosses val="autoZero"/>
        <c:auto val="1"/>
        <c:lblAlgn val="ctr"/>
        <c:lblOffset val="100"/>
        <c:tickLblSkip val="5"/>
        <c:tickMarkSkip val="5"/>
        <c:noMultiLvlLbl val="0"/>
      </c:catAx>
      <c:valAx>
        <c:axId val="103366304"/>
        <c:scaling>
          <c:orientation val="minMax"/>
          <c:max val="10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Kühlbedarf KB Sanierung</a:t>
            </a:r>
            <a:endParaRPr lang="en-US"/>
          </a:p>
        </c:rich>
      </c:tx>
      <c:overlay val="0"/>
    </c:title>
    <c:autoTitleDeleted val="0"/>
    <c:plotArea>
      <c:layout/>
      <c:lineChart>
        <c:grouping val="standard"/>
        <c:varyColors val="0"/>
        <c:ser>
          <c:idx val="0"/>
          <c:order val="0"/>
          <c:tx>
            <c:strRef>
              <c:f>'B1 Graphik'!$T$74:$U$74</c:f>
              <c:strCache>
                <c:ptCount val="1"/>
                <c:pt idx="0">
                  <c:v>Kühlbedarf</c:v>
                </c:pt>
              </c:strCache>
            </c:strRef>
          </c:tx>
          <c:marker>
            <c:symbol val="none"/>
          </c:marker>
          <c:cat>
            <c:numRef>
              <c:f>'B1 Graphik'!$T$76:$T$100</c:f>
              <c:numCache>
                <c:formatCode>0</c:formatCode>
                <c:ptCount val="25"/>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numCache>
            </c:numRef>
          </c:cat>
          <c:val>
            <c:numRef>
              <c:f>'B1 Graphik'!$U$76:$U$100</c:f>
              <c:numCache>
                <c:formatCode>0</c:formatCode>
                <c:ptCount val="25"/>
                <c:pt idx="0">
                  <c:v>45</c:v>
                </c:pt>
                <c:pt idx="1">
                  <c:v>45</c:v>
                </c:pt>
                <c:pt idx="2">
                  <c:v>45</c:v>
                </c:pt>
                <c:pt idx="3">
                  <c:v>45</c:v>
                </c:pt>
                <c:pt idx="4">
                  <c:v>45</c:v>
                </c:pt>
                <c:pt idx="5">
                  <c:v>42.1875</c:v>
                </c:pt>
                <c:pt idx="6">
                  <c:v>39.375</c:v>
                </c:pt>
                <c:pt idx="7">
                  <c:v>36.5625</c:v>
                </c:pt>
                <c:pt idx="8">
                  <c:v>33.75</c:v>
                </c:pt>
                <c:pt idx="9">
                  <c:v>30.9375</c:v>
                </c:pt>
                <c:pt idx="10">
                  <c:v>28.125</c:v>
                </c:pt>
                <c:pt idx="11">
                  <c:v>25.3125</c:v>
                </c:pt>
                <c:pt idx="12">
                  <c:v>22.5</c:v>
                </c:pt>
                <c:pt idx="13">
                  <c:v>19.6875</c:v>
                </c:pt>
                <c:pt idx="14">
                  <c:v>16.875</c:v>
                </c:pt>
                <c:pt idx="15">
                  <c:v>14.0625</c:v>
                </c:pt>
                <c:pt idx="16">
                  <c:v>11.25</c:v>
                </c:pt>
                <c:pt idx="17">
                  <c:v>8.4375</c:v>
                </c:pt>
                <c:pt idx="18">
                  <c:v>5.625</c:v>
                </c:pt>
                <c:pt idx="19">
                  <c:v>2.8125</c:v>
                </c:pt>
                <c:pt idx="20">
                  <c:v>0</c:v>
                </c:pt>
                <c:pt idx="21">
                  <c:v>0</c:v>
                </c:pt>
                <c:pt idx="22">
                  <c:v>0</c:v>
                </c:pt>
                <c:pt idx="23">
                  <c:v>0</c:v>
                </c:pt>
                <c:pt idx="24">
                  <c:v>0</c:v>
                </c:pt>
              </c:numCache>
            </c:numRef>
          </c:val>
          <c:smooth val="0"/>
          <c:extLst>
            <c:ext xmlns:c16="http://schemas.microsoft.com/office/drawing/2014/chart" uri="{C3380CC4-5D6E-409C-BE32-E72D297353CC}">
              <c16:uniqueId val="{00000001-71ED-49E7-89F0-DD4C09FB13EE}"/>
            </c:ext>
          </c:extLst>
        </c:ser>
        <c:dLbls>
          <c:showLegendKey val="0"/>
          <c:showVal val="0"/>
          <c:showCatName val="0"/>
          <c:showSerName val="0"/>
          <c:showPercent val="0"/>
          <c:showBubbleSize val="0"/>
        </c:dLbls>
        <c:smooth val="0"/>
        <c:axId val="104017064"/>
        <c:axId val="104017456"/>
      </c:lineChart>
      <c:catAx>
        <c:axId val="104017064"/>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KB</a:t>
                </a:r>
                <a:r>
                  <a:rPr lang="en-US">
                    <a:latin typeface="Arial"/>
                    <a:cs typeface="Arial"/>
                  </a:rPr>
                  <a:t> in</a:t>
                </a:r>
                <a:r>
                  <a:rPr lang="en-US"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4017456"/>
        <c:crosses val="autoZero"/>
        <c:auto val="1"/>
        <c:lblAlgn val="ctr"/>
        <c:lblOffset val="100"/>
        <c:tickLblSkip val="2"/>
        <c:tickMarkSkip val="1"/>
        <c:noMultiLvlLbl val="0"/>
      </c:catAx>
      <c:valAx>
        <c:axId val="104017456"/>
        <c:scaling>
          <c:orientation val="minMax"/>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401706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Primärenergiebedarf PEB</a:t>
            </a:r>
            <a:r>
              <a:rPr lang="de-DE" sz="1800" b="1" i="0" u="none" strike="noStrike" baseline="-25000">
                <a:effectLst/>
                <a:latin typeface="Arial" panose="020B0604020202020204" pitchFamily="34" charset="0"/>
                <a:cs typeface="Arial" panose="020B0604020202020204" pitchFamily="34" charset="0"/>
              </a:rPr>
              <a:t>SK</a:t>
            </a:r>
            <a:r>
              <a:rPr lang="de-DE" b="1">
                <a:latin typeface="Arial" panose="020B0604020202020204" pitchFamily="34" charset="0"/>
                <a:cs typeface="Arial" panose="020B0604020202020204" pitchFamily="34" charset="0"/>
              </a:rPr>
              <a:t> </a:t>
            </a:r>
            <a:r>
              <a:rPr lang="de-DE">
                <a:latin typeface="Arial"/>
                <a:cs typeface="Arial"/>
              </a:rPr>
              <a:t>Neubau</a:t>
            </a:r>
            <a:endParaRPr lang="de-DE"/>
          </a:p>
        </c:rich>
      </c:tx>
      <c:overlay val="0"/>
    </c:title>
    <c:autoTitleDeleted val="0"/>
    <c:plotArea>
      <c:layout/>
      <c:lineChart>
        <c:grouping val="standard"/>
        <c:varyColors val="0"/>
        <c:ser>
          <c:idx val="0"/>
          <c:order val="0"/>
          <c:tx>
            <c:strRef>
              <c:f>'B1b Graphik'!$L$92:$M$92</c:f>
              <c:strCache>
                <c:ptCount val="1"/>
                <c:pt idx="0">
                  <c:v>Primärenergiebedarf</c:v>
                </c:pt>
              </c:strCache>
            </c:strRef>
          </c:tx>
          <c:spPr>
            <a:ln>
              <a:solidFill>
                <a:schemeClr val="accent6">
                  <a:lumMod val="75000"/>
                </a:schemeClr>
              </a:solidFill>
            </a:ln>
          </c:spPr>
          <c:marker>
            <c:symbol val="none"/>
          </c:marker>
          <c:cat>
            <c:numRef>
              <c:f>'B1b Graphik'!$L$94:$L$244</c:f>
              <c:numCache>
                <c:formatCode>0</c:formatCode>
                <c:ptCount val="1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numCache>
            </c:numRef>
          </c:cat>
          <c:val>
            <c:numRef>
              <c:f>'B1b Graphik'!$M$94:$M$244</c:f>
              <c:numCache>
                <c:formatCode>0</c:formatCode>
                <c:ptCount val="151"/>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118.26086956521739</c:v>
                </c:pt>
                <c:pt idx="45">
                  <c:v>116.52173913043478</c:v>
                </c:pt>
                <c:pt idx="46">
                  <c:v>114.78260869565217</c:v>
                </c:pt>
                <c:pt idx="47">
                  <c:v>113.04347826086956</c:v>
                </c:pt>
                <c:pt idx="48">
                  <c:v>111.30434782608695</c:v>
                </c:pt>
                <c:pt idx="49">
                  <c:v>109.56521739130434</c:v>
                </c:pt>
                <c:pt idx="50">
                  <c:v>107.82608695652173</c:v>
                </c:pt>
                <c:pt idx="51">
                  <c:v>106.08695652173913</c:v>
                </c:pt>
                <c:pt idx="52">
                  <c:v>104.34782608695652</c:v>
                </c:pt>
                <c:pt idx="53">
                  <c:v>102.60869565217391</c:v>
                </c:pt>
                <c:pt idx="54">
                  <c:v>100.8695652173913</c:v>
                </c:pt>
                <c:pt idx="55">
                  <c:v>99.130434782608688</c:v>
                </c:pt>
                <c:pt idx="56">
                  <c:v>97.391304347826079</c:v>
                </c:pt>
                <c:pt idx="57">
                  <c:v>95.65217391304347</c:v>
                </c:pt>
                <c:pt idx="58">
                  <c:v>93.91304347826086</c:v>
                </c:pt>
                <c:pt idx="59">
                  <c:v>92.173913043478265</c:v>
                </c:pt>
                <c:pt idx="60">
                  <c:v>90.434782608695656</c:v>
                </c:pt>
                <c:pt idx="61">
                  <c:v>88.695652173913047</c:v>
                </c:pt>
                <c:pt idx="62">
                  <c:v>86.956521739130437</c:v>
                </c:pt>
                <c:pt idx="63">
                  <c:v>85.217391304347828</c:v>
                </c:pt>
                <c:pt idx="64">
                  <c:v>83.478260869565219</c:v>
                </c:pt>
                <c:pt idx="65">
                  <c:v>81.739130434782609</c:v>
                </c:pt>
                <c:pt idx="66">
                  <c:v>80</c:v>
                </c:pt>
                <c:pt idx="67">
                  <c:v>78.260869565217391</c:v>
                </c:pt>
                <c:pt idx="68">
                  <c:v>76.521739130434781</c:v>
                </c:pt>
                <c:pt idx="69">
                  <c:v>74.782608695652172</c:v>
                </c:pt>
                <c:pt idx="70">
                  <c:v>73.043478260869563</c:v>
                </c:pt>
                <c:pt idx="71">
                  <c:v>71.304347826086953</c:v>
                </c:pt>
                <c:pt idx="72">
                  <c:v>69.565217391304344</c:v>
                </c:pt>
                <c:pt idx="73">
                  <c:v>67.826086956521735</c:v>
                </c:pt>
                <c:pt idx="74">
                  <c:v>66.086956521739125</c:v>
                </c:pt>
                <c:pt idx="75">
                  <c:v>64.347826086956516</c:v>
                </c:pt>
                <c:pt idx="76">
                  <c:v>62.608695652173914</c:v>
                </c:pt>
                <c:pt idx="77">
                  <c:v>60.869565217391305</c:v>
                </c:pt>
                <c:pt idx="78">
                  <c:v>59.130434782608695</c:v>
                </c:pt>
                <c:pt idx="79">
                  <c:v>57.391304347826086</c:v>
                </c:pt>
                <c:pt idx="80">
                  <c:v>55.652173913043477</c:v>
                </c:pt>
                <c:pt idx="81">
                  <c:v>53.913043478260867</c:v>
                </c:pt>
                <c:pt idx="82">
                  <c:v>52.173913043478258</c:v>
                </c:pt>
                <c:pt idx="83">
                  <c:v>50.434782608695649</c:v>
                </c:pt>
                <c:pt idx="84">
                  <c:v>48.695652173913039</c:v>
                </c:pt>
                <c:pt idx="85">
                  <c:v>46.95652173913043</c:v>
                </c:pt>
                <c:pt idx="86">
                  <c:v>45.217391304347828</c:v>
                </c:pt>
                <c:pt idx="87">
                  <c:v>43.478260869565219</c:v>
                </c:pt>
                <c:pt idx="88">
                  <c:v>41.739130434782609</c:v>
                </c:pt>
                <c:pt idx="89">
                  <c:v>40</c:v>
                </c:pt>
                <c:pt idx="90">
                  <c:v>38.260869565217391</c:v>
                </c:pt>
                <c:pt idx="91">
                  <c:v>36.521739130434781</c:v>
                </c:pt>
                <c:pt idx="92">
                  <c:v>34.782608695652172</c:v>
                </c:pt>
                <c:pt idx="93">
                  <c:v>33.043478260869563</c:v>
                </c:pt>
                <c:pt idx="94">
                  <c:v>31.304347826086957</c:v>
                </c:pt>
                <c:pt idx="95">
                  <c:v>29.565217391304348</c:v>
                </c:pt>
                <c:pt idx="96">
                  <c:v>27.826086956521738</c:v>
                </c:pt>
                <c:pt idx="97">
                  <c:v>26.086956521739129</c:v>
                </c:pt>
                <c:pt idx="98">
                  <c:v>24.34782608695652</c:v>
                </c:pt>
                <c:pt idx="99">
                  <c:v>22.608695652173914</c:v>
                </c:pt>
                <c:pt idx="100">
                  <c:v>20.869565217391305</c:v>
                </c:pt>
                <c:pt idx="101">
                  <c:v>19.130434782608695</c:v>
                </c:pt>
                <c:pt idx="102">
                  <c:v>17.391304347826086</c:v>
                </c:pt>
                <c:pt idx="103">
                  <c:v>15.652173913043478</c:v>
                </c:pt>
                <c:pt idx="104">
                  <c:v>13.913043478260869</c:v>
                </c:pt>
                <c:pt idx="105">
                  <c:v>12.17391304347826</c:v>
                </c:pt>
                <c:pt idx="106">
                  <c:v>10.434782608695652</c:v>
                </c:pt>
                <c:pt idx="107">
                  <c:v>8.695652173913043</c:v>
                </c:pt>
                <c:pt idx="108">
                  <c:v>6.9565217391304346</c:v>
                </c:pt>
                <c:pt idx="109">
                  <c:v>5.2173913043478262</c:v>
                </c:pt>
                <c:pt idx="110">
                  <c:v>3.4782608695652173</c:v>
                </c:pt>
                <c:pt idx="111">
                  <c:v>1.7391304347826086</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numCache>
            </c:numRef>
          </c:val>
          <c:smooth val="0"/>
          <c:extLst>
            <c:ext xmlns:c16="http://schemas.microsoft.com/office/drawing/2014/chart" uri="{C3380CC4-5D6E-409C-BE32-E72D297353CC}">
              <c16:uniqueId val="{00000000-FB76-4A3E-B85C-33F0F440EBD5}"/>
            </c:ext>
          </c:extLst>
        </c:ser>
        <c:dLbls>
          <c:showLegendKey val="0"/>
          <c:showVal val="0"/>
          <c:showCatName val="0"/>
          <c:showSerName val="0"/>
          <c:showPercent val="0"/>
          <c:showBubbleSize val="0"/>
        </c:dLbls>
        <c:smooth val="0"/>
        <c:axId val="103371008"/>
        <c:axId val="103371792"/>
      </c:lineChart>
      <c:catAx>
        <c:axId val="103371008"/>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sz="1200" b="1" i="0" u="none" strike="noStrike" baseline="0">
                    <a:effectLst/>
                    <a:latin typeface="Arial" panose="020B0604020202020204" pitchFamily="34" charset="0"/>
                    <a:cs typeface="Arial" panose="020B0604020202020204" pitchFamily="34" charset="0"/>
                  </a:rPr>
                  <a:t>PEB</a:t>
                </a:r>
                <a:r>
                  <a:rPr lang="de-DE" sz="1200" b="1" i="0" u="none" strike="noStrike" baseline="-25000">
                    <a:effectLst/>
                    <a:latin typeface="Arial" panose="020B0604020202020204" pitchFamily="34" charset="0"/>
                    <a:cs typeface="Arial" panose="020B0604020202020204" pitchFamily="34" charset="0"/>
                  </a:rPr>
                  <a:t>SK</a:t>
                </a:r>
                <a:r>
                  <a:rPr lang="de-DE">
                    <a:latin typeface="Arial"/>
                    <a:cs typeface="Arial"/>
                  </a:rPr>
                  <a:t> in</a:t>
                </a:r>
                <a:r>
                  <a:rPr lang="de-DE" baseline="0">
                    <a:latin typeface="Arial"/>
                    <a:cs typeface="Arial"/>
                  </a:rPr>
                  <a:t> </a:t>
                </a:r>
                <a:r>
                  <a:rPr lang="de-DE">
                    <a:latin typeface="Arial"/>
                    <a:cs typeface="Arial"/>
                  </a:rPr>
                  <a:t>kWh/(m²a)</a:t>
                </a:r>
                <a:endParaRPr lang="de-DE"/>
              </a:p>
            </c:rich>
          </c:tx>
          <c:overlay val="0"/>
        </c:title>
        <c:numFmt formatCode="0" sourceLinked="1"/>
        <c:majorTickMark val="out"/>
        <c:minorTickMark val="none"/>
        <c:tickLblPos val="nextTo"/>
        <c:txPr>
          <a:bodyPr rot="0" vert="horz" anchor="ctr" anchorCtr="0"/>
          <a:lstStyle/>
          <a:p>
            <a:pPr>
              <a:defRPr sz="1000" b="0" i="0" u="none" strike="noStrike">
                <a:solidFill>
                  <a:srgbClr val="000000"/>
                </a:solidFill>
                <a:latin typeface="Calibri"/>
                <a:ea typeface="Calibri"/>
                <a:cs typeface="Calibri"/>
              </a:defRPr>
            </a:pPr>
            <a:endParaRPr lang="de-DE"/>
          </a:p>
        </c:txPr>
        <c:crossAx val="103371792"/>
        <c:crosses val="autoZero"/>
        <c:auto val="0"/>
        <c:lblAlgn val="ctr"/>
        <c:lblOffset val="100"/>
        <c:tickLblSkip val="10"/>
        <c:tickMarkSkip val="5"/>
        <c:noMultiLvlLbl val="0"/>
      </c:catAx>
      <c:valAx>
        <c:axId val="103371792"/>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1008"/>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158118</xdr:colOff>
      <xdr:row>37</xdr:row>
      <xdr:rowOff>137302</xdr:rowOff>
    </xdr:from>
    <xdr:to>
      <xdr:col>12</xdr:col>
      <xdr:colOff>514113</xdr:colOff>
      <xdr:row>53</xdr:row>
      <xdr:rowOff>7517</xdr:rowOff>
    </xdr:to>
    <xdr:graphicFrame macro="">
      <xdr:nvGraphicFramePr>
        <xdr:cNvPr id="10" name="Diagramm 9">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205744</xdr:colOff>
      <xdr:row>55</xdr:row>
      <xdr:rowOff>82626</xdr:rowOff>
    </xdr:from>
    <xdr:to>
      <xdr:col>12</xdr:col>
      <xdr:colOff>593149</xdr:colOff>
      <xdr:row>70</xdr:row>
      <xdr:rowOff>57245</xdr:rowOff>
    </xdr:to>
    <xdr:graphicFrame macro="">
      <xdr:nvGraphicFramePr>
        <xdr:cNvPr id="11" name="Diagramm 10">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160842</xdr:colOff>
      <xdr:row>4</xdr:row>
      <xdr:rowOff>17931</xdr:rowOff>
    </xdr:from>
    <xdr:to>
      <xdr:col>12</xdr:col>
      <xdr:colOff>523567</xdr:colOff>
      <xdr:row>19</xdr:row>
      <xdr:rowOff>59545</xdr:rowOff>
    </xdr:to>
    <xdr:graphicFrame macro="">
      <xdr:nvGraphicFramePr>
        <xdr:cNvPr id="12" name="Diagramm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108392</xdr:colOff>
      <xdr:row>20</xdr:row>
      <xdr:rowOff>135076</xdr:rowOff>
    </xdr:from>
    <xdr:to>
      <xdr:col>12</xdr:col>
      <xdr:colOff>499011</xdr:colOff>
      <xdr:row>35</xdr:row>
      <xdr:rowOff>175874</xdr:rowOff>
    </xdr:to>
    <xdr:graphicFrame macro="">
      <xdr:nvGraphicFramePr>
        <xdr:cNvPr id="13" name="Diagramm 7">
          <a:extLst>
            <a:ext uri="{FF2B5EF4-FFF2-40B4-BE49-F238E27FC236}">
              <a16:creationId xmlns:a16="http://schemas.microsoft.com/office/drawing/2014/main" id="{00000000-0008-0000-0A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282810</xdr:colOff>
      <xdr:row>37</xdr:row>
      <xdr:rowOff>137302</xdr:rowOff>
    </xdr:from>
    <xdr:to>
      <xdr:col>26</xdr:col>
      <xdr:colOff>638804</xdr:colOff>
      <xdr:row>53</xdr:row>
      <xdr:rowOff>7517</xdr:rowOff>
    </xdr:to>
    <xdr:graphicFrame macro="">
      <xdr:nvGraphicFramePr>
        <xdr:cNvPr id="18" name="Diagramm 17">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263761</xdr:colOff>
      <xdr:row>55</xdr:row>
      <xdr:rowOff>6426</xdr:rowOff>
    </xdr:from>
    <xdr:to>
      <xdr:col>26</xdr:col>
      <xdr:colOff>651165</xdr:colOff>
      <xdr:row>69</xdr:row>
      <xdr:rowOff>162020</xdr:rowOff>
    </xdr:to>
    <xdr:graphicFrame macro="">
      <xdr:nvGraphicFramePr>
        <xdr:cNvPr id="19" name="Diagramm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256959</xdr:colOff>
      <xdr:row>4</xdr:row>
      <xdr:rowOff>17931</xdr:rowOff>
    </xdr:from>
    <xdr:to>
      <xdr:col>26</xdr:col>
      <xdr:colOff>619683</xdr:colOff>
      <xdr:row>19</xdr:row>
      <xdr:rowOff>59545</xdr:rowOff>
    </xdr:to>
    <xdr:graphicFrame macro="">
      <xdr:nvGraphicFramePr>
        <xdr:cNvPr id="20" name="Diagramm 19">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233084</xdr:colOff>
      <xdr:row>20</xdr:row>
      <xdr:rowOff>135076</xdr:rowOff>
    </xdr:from>
    <xdr:to>
      <xdr:col>26</xdr:col>
      <xdr:colOff>623702</xdr:colOff>
      <xdr:row>35</xdr:row>
      <xdr:rowOff>175874</xdr:rowOff>
    </xdr:to>
    <xdr:graphicFrame macro="">
      <xdr:nvGraphicFramePr>
        <xdr:cNvPr id="21" name="Diagramm 7">
          <a:extLst>
            <a:ext uri="{FF2B5EF4-FFF2-40B4-BE49-F238E27FC236}">
              <a16:creationId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559901</xdr:colOff>
      <xdr:row>55</xdr:row>
      <xdr:rowOff>137302</xdr:rowOff>
    </xdr:from>
    <xdr:to>
      <xdr:col>14</xdr:col>
      <xdr:colOff>246185</xdr:colOff>
      <xdr:row>71</xdr:row>
      <xdr:rowOff>7517</xdr:rowOff>
    </xdr:to>
    <xdr:graphicFrame macro="">
      <xdr:nvGraphicFramePr>
        <xdr:cNvPr id="2" name="Diagramm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540852</xdr:colOff>
      <xdr:row>73</xdr:row>
      <xdr:rowOff>6426</xdr:rowOff>
    </xdr:from>
    <xdr:to>
      <xdr:col>14</xdr:col>
      <xdr:colOff>152402</xdr:colOff>
      <xdr:row>87</xdr:row>
      <xdr:rowOff>162020</xdr:rowOff>
    </xdr:to>
    <xdr:graphicFrame macro="">
      <xdr:nvGraphicFramePr>
        <xdr:cNvPr id="3" name="Diagramm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501393</xdr:colOff>
      <xdr:row>4</xdr:row>
      <xdr:rowOff>50589</xdr:rowOff>
    </xdr:from>
    <xdr:to>
      <xdr:col>14</xdr:col>
      <xdr:colOff>88263</xdr:colOff>
      <xdr:row>19</xdr:row>
      <xdr:rowOff>92203</xdr:rowOff>
    </xdr:to>
    <xdr:graphicFrame macro="">
      <xdr:nvGraphicFramePr>
        <xdr:cNvPr id="4" name="Diagramm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510175</xdr:colOff>
      <xdr:row>38</xdr:row>
      <xdr:rowOff>135076</xdr:rowOff>
    </xdr:from>
    <xdr:to>
      <xdr:col>14</xdr:col>
      <xdr:colOff>124939</xdr:colOff>
      <xdr:row>53</xdr:row>
      <xdr:rowOff>175874</xdr:rowOff>
    </xdr:to>
    <xdr:graphicFrame macro="">
      <xdr:nvGraphicFramePr>
        <xdr:cNvPr id="5" name="Diagramm 7">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213538</xdr:colOff>
      <xdr:row>55</xdr:row>
      <xdr:rowOff>81884</xdr:rowOff>
    </xdr:from>
    <xdr:to>
      <xdr:col>31</xdr:col>
      <xdr:colOff>569532</xdr:colOff>
      <xdr:row>70</xdr:row>
      <xdr:rowOff>132208</xdr:rowOff>
    </xdr:to>
    <xdr:graphicFrame macro="">
      <xdr:nvGraphicFramePr>
        <xdr:cNvPr id="6" name="Diagramm 5">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194489</xdr:colOff>
      <xdr:row>72</xdr:row>
      <xdr:rowOff>131117</xdr:rowOff>
    </xdr:from>
    <xdr:to>
      <xdr:col>31</xdr:col>
      <xdr:colOff>581893</xdr:colOff>
      <xdr:row>87</xdr:row>
      <xdr:rowOff>106602</xdr:rowOff>
    </xdr:to>
    <xdr:graphicFrame macro="">
      <xdr:nvGraphicFramePr>
        <xdr:cNvPr id="7" name="Diagramm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155031</xdr:colOff>
      <xdr:row>4</xdr:row>
      <xdr:rowOff>16941</xdr:rowOff>
    </xdr:from>
    <xdr:to>
      <xdr:col>31</xdr:col>
      <xdr:colOff>517755</xdr:colOff>
      <xdr:row>19</xdr:row>
      <xdr:rowOff>58555</xdr:rowOff>
    </xdr:to>
    <xdr:graphicFrame macro="">
      <xdr:nvGraphicFramePr>
        <xdr:cNvPr id="8" name="Diagramm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163812</xdr:colOff>
      <xdr:row>38</xdr:row>
      <xdr:rowOff>79658</xdr:rowOff>
    </xdr:from>
    <xdr:to>
      <xdr:col>31</xdr:col>
      <xdr:colOff>554430</xdr:colOff>
      <xdr:row>53</xdr:row>
      <xdr:rowOff>120456</xdr:rowOff>
    </xdr:to>
    <xdr:graphicFrame macro="">
      <xdr:nvGraphicFramePr>
        <xdr:cNvPr id="9" name="Diagramm 7">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159328</xdr:colOff>
      <xdr:row>21</xdr:row>
      <xdr:rowOff>42554</xdr:rowOff>
    </xdr:from>
    <xdr:to>
      <xdr:col>31</xdr:col>
      <xdr:colOff>522052</xdr:colOff>
      <xdr:row>36</xdr:row>
      <xdr:rowOff>84168</xdr:rowOff>
    </xdr:to>
    <xdr:graphicFrame macro="">
      <xdr:nvGraphicFramePr>
        <xdr:cNvPr id="10" name="Diagramm 9">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499755</xdr:colOff>
      <xdr:row>21</xdr:row>
      <xdr:rowOff>97972</xdr:rowOff>
    </xdr:from>
    <xdr:to>
      <xdr:col>14</xdr:col>
      <xdr:colOff>86625</xdr:colOff>
      <xdr:row>36</xdr:row>
      <xdr:rowOff>139586</xdr:rowOff>
    </xdr:to>
    <xdr:graphicFrame macro="">
      <xdr:nvGraphicFramePr>
        <xdr:cNvPr id="11" name="Diagramm 10">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41"/>
  <sheetViews>
    <sheetView showGridLines="0" topLeftCell="A2" zoomScale="69" zoomScaleNormal="100" workbookViewId="0">
      <selection activeCell="B12" sqref="B12"/>
    </sheetView>
  </sheetViews>
  <sheetFormatPr baseColWidth="10" defaultColWidth="11.42578125" defaultRowHeight="12.75"/>
  <cols>
    <col min="1" max="1" width="43" customWidth="1"/>
    <col min="2" max="2" width="44.42578125" customWidth="1"/>
    <col min="3" max="3" width="0" hidden="1" customWidth="1"/>
  </cols>
  <sheetData>
    <row r="1" spans="1:2" ht="39.200000000000003" customHeight="1">
      <c r="A1" s="778" t="s">
        <v>602</v>
      </c>
      <c r="B1" s="778"/>
    </row>
    <row r="2" spans="1:2" ht="15.75" customHeight="1">
      <c r="A2" s="778"/>
      <c r="B2" s="778"/>
    </row>
    <row r="3" spans="1:2">
      <c r="A3" s="778"/>
      <c r="B3" s="778"/>
    </row>
    <row r="4" spans="1:2">
      <c r="A4" s="778"/>
      <c r="B4" s="778"/>
    </row>
    <row r="5" spans="1:2">
      <c r="A5" s="778"/>
      <c r="B5" s="778"/>
    </row>
    <row r="6" spans="1:2">
      <c r="A6" s="778"/>
      <c r="B6" s="778"/>
    </row>
    <row r="7" spans="1:2">
      <c r="A7" s="92"/>
      <c r="B7" s="92"/>
    </row>
    <row r="8" spans="1:2">
      <c r="A8" s="92"/>
      <c r="B8" s="92"/>
    </row>
    <row r="9" spans="1:2" ht="7.5" customHeight="1" thickBot="1">
      <c r="A9" s="92"/>
      <c r="B9" s="92"/>
    </row>
    <row r="10" spans="1:2" ht="21" thickBot="1">
      <c r="A10" s="776" t="s">
        <v>228</v>
      </c>
      <c r="B10" s="776"/>
    </row>
    <row r="11" spans="1:2" ht="5.25" customHeight="1">
      <c r="A11" s="92"/>
      <c r="B11" s="92"/>
    </row>
    <row r="12" spans="1:2" ht="20.100000000000001" customHeight="1">
      <c r="A12" s="89" t="s">
        <v>229</v>
      </c>
      <c r="B12" s="239"/>
    </row>
    <row r="13" spans="1:2" ht="20.100000000000001" customHeight="1">
      <c r="A13" s="89" t="s">
        <v>362</v>
      </c>
      <c r="B13" s="5"/>
    </row>
    <row r="14" spans="1:2" ht="20.100000000000001" customHeight="1">
      <c r="A14" s="89" t="s">
        <v>78</v>
      </c>
      <c r="B14" s="5"/>
    </row>
    <row r="15" spans="1:2" ht="20.100000000000001" customHeight="1">
      <c r="A15" s="89" t="s">
        <v>253</v>
      </c>
      <c r="B15" s="5"/>
    </row>
    <row r="16" spans="1:2" ht="20.100000000000001" customHeight="1">
      <c r="A16" s="89" t="s">
        <v>273</v>
      </c>
      <c r="B16" s="6"/>
    </row>
    <row r="17" spans="1:3" ht="20.100000000000001" customHeight="1">
      <c r="A17" s="89" t="s">
        <v>230</v>
      </c>
      <c r="B17" s="6"/>
    </row>
    <row r="18" spans="1:3" ht="18.75" customHeight="1">
      <c r="A18" s="90" t="s">
        <v>231</v>
      </c>
      <c r="B18" s="80">
        <f>Punktevergabe!F8</f>
        <v>0</v>
      </c>
      <c r="C18">
        <v>-30</v>
      </c>
    </row>
    <row r="19" spans="1:3" ht="9.75" customHeight="1" thickBot="1">
      <c r="A19" s="92"/>
      <c r="B19" s="92"/>
      <c r="C19">
        <v>-50</v>
      </c>
    </row>
    <row r="20" spans="1:3" ht="21" thickBot="1">
      <c r="A20" s="777" t="s">
        <v>303</v>
      </c>
      <c r="B20" s="777"/>
      <c r="C20">
        <v>-60</v>
      </c>
    </row>
    <row r="21" spans="1:3" ht="8.4499999999999993" customHeight="1">
      <c r="A21" s="92"/>
      <c r="B21" s="92"/>
      <c r="C21">
        <v>-70</v>
      </c>
    </row>
    <row r="22" spans="1:3" ht="30.2" customHeight="1">
      <c r="A22" s="91" t="s">
        <v>304</v>
      </c>
      <c r="B22" s="5"/>
    </row>
    <row r="23" spans="1:3" ht="20.100000000000001" customHeight="1">
      <c r="A23" s="91" t="s">
        <v>372</v>
      </c>
      <c r="B23" s="5"/>
    </row>
    <row r="24" spans="1:3" ht="20.100000000000001" customHeight="1">
      <c r="A24" s="91" t="s">
        <v>258</v>
      </c>
      <c r="B24" s="6"/>
    </row>
    <row r="25" spans="1:3" ht="8.4499999999999993" customHeight="1">
      <c r="A25" s="92"/>
      <c r="B25" s="92"/>
    </row>
    <row r="26" spans="1:3">
      <c r="A26" s="92"/>
      <c r="B26" s="92"/>
    </row>
    <row r="27" spans="1:3">
      <c r="A27" s="779" t="s">
        <v>528</v>
      </c>
      <c r="B27" s="780"/>
    </row>
    <row r="28" spans="1:3">
      <c r="A28" s="781"/>
      <c r="B28" s="782"/>
    </row>
    <row r="29" spans="1:3">
      <c r="A29" s="781"/>
      <c r="B29" s="782"/>
    </row>
    <row r="30" spans="1:3">
      <c r="A30" s="781"/>
      <c r="B30" s="782"/>
    </row>
    <row r="31" spans="1:3">
      <c r="A31" s="781"/>
      <c r="B31" s="782"/>
    </row>
    <row r="32" spans="1:3">
      <c r="A32" s="781"/>
      <c r="B32" s="782"/>
    </row>
    <row r="33" spans="1:2">
      <c r="A33" s="781"/>
      <c r="B33" s="782"/>
    </row>
    <row r="34" spans="1:2">
      <c r="A34" s="781"/>
      <c r="B34" s="782"/>
    </row>
    <row r="35" spans="1:2">
      <c r="A35" s="781"/>
      <c r="B35" s="782"/>
    </row>
    <row r="36" spans="1:2">
      <c r="A36" s="783"/>
      <c r="B36" s="784"/>
    </row>
    <row r="37" spans="1:2">
      <c r="A37" s="92"/>
      <c r="B37" s="92"/>
    </row>
    <row r="38" spans="1:2" ht="10.5" customHeight="1">
      <c r="A38" s="92"/>
      <c r="B38" s="92"/>
    </row>
    <row r="39" spans="1:2" ht="21.2" customHeight="1">
      <c r="A39" s="89" t="s">
        <v>232</v>
      </c>
      <c r="B39" s="6"/>
    </row>
    <row r="40" spans="1:2" ht="69" customHeight="1">
      <c r="A40" s="89" t="s">
        <v>233</v>
      </c>
      <c r="B40" s="5"/>
    </row>
    <row r="41" spans="1:2">
      <c r="A41" s="92"/>
      <c r="B41" s="92"/>
    </row>
  </sheetData>
  <sheetProtection algorithmName="SHA-512" hashValue="YCMeBSuc3EEA7kTYixnc5NoQKHb1Pt1eZAwbgG+XAGuFICHKoM2WBriLZbfPIxb2k/PJfEzVWLWnnngX2XaK1A==" saltValue="tuEyDgbrDDxlGY888AaqvA==" spinCount="100000" sheet="1" selectLockedCells="1"/>
  <mergeCells count="4">
    <mergeCell ref="A10:B10"/>
    <mergeCell ref="A20:B20"/>
    <mergeCell ref="A1:B6"/>
    <mergeCell ref="A27:B36"/>
  </mergeCells>
  <printOptions horizontalCentered="1"/>
  <pageMargins left="0.59055118110236227" right="0.59055118110236227" top="0.59055118110236227" bottom="0.59055118110236227"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59" zoomScaleNormal="100" workbookViewId="0">
      <selection activeCell="D5" sqref="D5"/>
    </sheetView>
  </sheetViews>
  <sheetFormatPr baseColWidth="10" defaultColWidth="11.42578125" defaultRowHeight="12.75"/>
  <cols>
    <col min="1" max="1" width="37.42578125" style="93" customWidth="1"/>
    <col min="2" max="2" width="81.7109375" style="93" customWidth="1"/>
    <col min="3" max="3" width="10.28515625" style="93" customWidth="1"/>
    <col min="4" max="4" width="11.7109375" style="100" customWidth="1"/>
    <col min="5" max="5" width="14.7109375" style="93" hidden="1" customWidth="1"/>
    <col min="6" max="6" width="30.7109375" style="100" customWidth="1"/>
    <col min="7" max="8" width="0" style="93" hidden="1" customWidth="1"/>
    <col min="9" max="16384" width="11.42578125" style="93"/>
  </cols>
  <sheetData>
    <row r="1" spans="1:7" ht="24.75" customHeight="1">
      <c r="A1" s="807" t="s">
        <v>531</v>
      </c>
      <c r="B1" s="807"/>
      <c r="C1" s="807"/>
      <c r="D1" s="807"/>
    </row>
    <row r="2" spans="1:7" ht="7.5" customHeight="1" thickBot="1">
      <c r="A2" s="94"/>
      <c r="B2" s="94"/>
      <c r="C2" s="94"/>
      <c r="D2" s="95"/>
    </row>
    <row r="3" spans="1:7" s="96" customFormat="1" ht="41.25" customHeight="1">
      <c r="A3" s="272" t="s">
        <v>32</v>
      </c>
      <c r="B3" s="273" t="s">
        <v>30</v>
      </c>
      <c r="C3" s="477" t="s">
        <v>469</v>
      </c>
      <c r="D3" s="274" t="s">
        <v>6</v>
      </c>
      <c r="F3" s="654" t="s">
        <v>254</v>
      </c>
    </row>
    <row r="4" spans="1:7" ht="44.45" customHeight="1">
      <c r="A4" s="379" t="s">
        <v>525</v>
      </c>
      <c r="B4" s="276" t="s">
        <v>551</v>
      </c>
      <c r="C4" s="476">
        <v>5</v>
      </c>
      <c r="D4" s="4"/>
      <c r="E4" s="341">
        <v>0</v>
      </c>
      <c r="F4" s="683"/>
    </row>
    <row r="5" spans="1:7" ht="45.75" customHeight="1">
      <c r="A5" s="379" t="s">
        <v>526</v>
      </c>
      <c r="B5" s="475" t="s">
        <v>527</v>
      </c>
      <c r="C5" s="476">
        <v>7</v>
      </c>
      <c r="D5" s="4"/>
      <c r="E5" s="93">
        <v>5</v>
      </c>
      <c r="F5" s="682"/>
    </row>
    <row r="6" spans="1:7" ht="24.95" customHeight="1" thickBot="1">
      <c r="A6" s="858" t="s">
        <v>33</v>
      </c>
      <c r="B6" s="859"/>
      <c r="C6" s="320"/>
      <c r="D6" s="98">
        <f>IF(SUM(D4:D5)&gt;10,10,SUM(D4:D5))</f>
        <v>0</v>
      </c>
      <c r="E6" s="341">
        <v>0</v>
      </c>
      <c r="F6" s="655"/>
    </row>
    <row r="7" spans="1:7" ht="24.95" customHeight="1">
      <c r="A7" s="918"/>
      <c r="B7" s="918"/>
      <c r="C7" s="391"/>
      <c r="E7" s="93">
        <v>7</v>
      </c>
    </row>
    <row r="8" spans="1:7" ht="70.5" customHeight="1">
      <c r="A8" s="930" t="s">
        <v>579</v>
      </c>
      <c r="B8" s="920"/>
      <c r="C8"/>
    </row>
    <row r="9" spans="1:7" ht="38.25" customHeight="1">
      <c r="A9" s="739" t="s">
        <v>580</v>
      </c>
      <c r="B9" s="740" t="s">
        <v>588</v>
      </c>
      <c r="G9" s="447" t="s">
        <v>581</v>
      </c>
    </row>
    <row r="10" spans="1:7" ht="24.95" customHeight="1">
      <c r="A10" s="739" t="s">
        <v>582</v>
      </c>
      <c r="B10" s="741"/>
      <c r="G10" s="447" t="s">
        <v>588</v>
      </c>
    </row>
    <row r="11" spans="1:7" s="99" customFormat="1" ht="32.25" customHeight="1">
      <c r="A11" s="739" t="s">
        <v>583</v>
      </c>
      <c r="B11" s="741"/>
      <c r="C11" s="93"/>
      <c r="D11" s="100"/>
      <c r="E11" s="93"/>
      <c r="F11" s="100"/>
    </row>
    <row r="12" spans="1:7" ht="14.25" customHeight="1">
      <c r="A12" s="739" t="s">
        <v>584</v>
      </c>
      <c r="B12" s="741"/>
      <c r="G12" s="447">
        <v>5</v>
      </c>
    </row>
    <row r="13" spans="1:7">
      <c r="A13" s="739" t="s">
        <v>585</v>
      </c>
      <c r="B13" s="741"/>
      <c r="G13" s="447">
        <v>7</v>
      </c>
    </row>
    <row r="14" spans="1:7">
      <c r="A14" s="739" t="s">
        <v>586</v>
      </c>
      <c r="B14" s="741"/>
    </row>
    <row r="15" spans="1:7">
      <c r="A15" s="739" t="s">
        <v>587</v>
      </c>
      <c r="B15" s="742">
        <f>IF(B9="Bewässerung/WCs",(B10*2*(B11*30+B12*10)+B13*40),B14*40)</f>
        <v>0</v>
      </c>
    </row>
  </sheetData>
  <sheetProtection algorithmName="SHA-512" hashValue="K7tmlheknyM5Oqz3T+pmDBuP1TwRXMvLLwiyIdYt859Iy6qiY6EhhfLS5TByT5Q1L6DdUjfRcNEEB/tR4gmb1A==" saltValue="hs9t+twUHwcwL4l6iEinWQ==" spinCount="100000" sheet="1" selectLockedCells="1"/>
  <mergeCells count="4">
    <mergeCell ref="A1:D1"/>
    <mergeCell ref="A6:B6"/>
    <mergeCell ref="A7:B7"/>
    <mergeCell ref="A8:B8"/>
  </mergeCells>
  <dataValidations count="4">
    <dataValidation type="list" allowBlank="1" showInputMessage="1" showErrorMessage="1" errorTitle="Falscher Wert!" error="Bitte geben Sie die Zahl 0 oder 1 ein." sqref="D5">
      <formula1>$E$6:$E$7</formula1>
    </dataValidation>
    <dataValidation type="list" allowBlank="1" showInputMessage="1" showErrorMessage="1" errorTitle="Falscher Wert!" error="Bitte geben Sie die Zahl 0 oder 1 ein." sqref="D4">
      <formula1>$E$4:$E$5</formula1>
    </dataValidation>
    <dataValidation type="list" allowBlank="1" showInputMessage="1" showErrorMessage="1" sqref="B10">
      <formula1>$G$12:$G$13</formula1>
    </dataValidation>
    <dataValidation type="list" allowBlank="1" showInputMessage="1" showErrorMessage="1" sqref="B9">
      <formula1>$G$9:$G$10</formula1>
    </dataValidation>
  </dataValidations>
  <printOptions horizontalCentered="1"/>
  <pageMargins left="0.59055118110236227" right="0.59055118110236227" top="0.59055118110236227" bottom="0.59055118110236227" header="0.31496062992125984" footer="0.31496062992125984"/>
  <pageSetup paperSize="9" scale="7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N31"/>
  <sheetViews>
    <sheetView showGridLines="0" zoomScale="85" zoomScaleNormal="85" workbookViewId="0">
      <selection activeCell="B10" sqref="B10"/>
    </sheetView>
  </sheetViews>
  <sheetFormatPr baseColWidth="10" defaultColWidth="11.42578125" defaultRowHeight="14.25"/>
  <cols>
    <col min="1" max="1" width="38.7109375" style="1" customWidth="1"/>
    <col min="2" max="2" width="42.7109375" style="1" bestFit="1" customWidth="1"/>
    <col min="3" max="3" width="11.42578125" style="1"/>
    <col min="4" max="4" width="30.7109375" style="660" customWidth="1"/>
    <col min="5" max="5" width="6.28515625" style="1" customWidth="1"/>
    <col min="6" max="6" width="21.85546875" style="1" hidden="1" customWidth="1"/>
    <col min="7" max="7" width="33.140625" style="1" hidden="1" customWidth="1"/>
    <col min="8" max="8" width="26.5703125" style="1" hidden="1" customWidth="1"/>
    <col min="9" max="9" width="19.140625" style="660" hidden="1" customWidth="1"/>
    <col min="10" max="10" width="25.28515625" style="1" hidden="1" customWidth="1"/>
    <col min="11" max="11" width="21.28515625" style="1" hidden="1" customWidth="1"/>
    <col min="12" max="12" width="22.5703125" style="1" hidden="1" customWidth="1"/>
    <col min="13" max="13" width="30.5703125" style="1" hidden="1" customWidth="1"/>
    <col min="14" max="14" width="19.42578125" style="660" hidden="1" customWidth="1"/>
    <col min="15" max="19" width="11.42578125" style="1" customWidth="1"/>
    <col min="20" max="16384" width="11.42578125" style="1"/>
  </cols>
  <sheetData>
    <row r="1" spans="1:14" ht="24.95" customHeight="1" thickBot="1">
      <c r="A1" s="807" t="s">
        <v>255</v>
      </c>
      <c r="B1" s="807"/>
      <c r="C1" s="807"/>
      <c r="F1" s="937" t="s">
        <v>334</v>
      </c>
      <c r="G1" s="938"/>
      <c r="H1" s="939"/>
      <c r="K1" s="937" t="s">
        <v>335</v>
      </c>
      <c r="L1" s="940"/>
      <c r="M1" s="941"/>
    </row>
    <row r="2" spans="1:14" ht="7.5" customHeight="1" thickBot="1">
      <c r="A2" s="323"/>
      <c r="B2" s="323"/>
      <c r="C2" s="323"/>
    </row>
    <row r="3" spans="1:14" s="105" customFormat="1" ht="24.95" customHeight="1">
      <c r="A3" s="942" t="str">
        <f>IF(ISTEXT(Punktevergabe!E5),CONCATENATE("Eingabefeld PHPP ", (Punktevergabe!E5),""))</f>
        <v>Eingabefeld PHPP Neubau</v>
      </c>
      <c r="B3" s="943"/>
      <c r="C3" s="944"/>
      <c r="D3" s="663" t="s">
        <v>254</v>
      </c>
      <c r="F3" s="931" t="s">
        <v>330</v>
      </c>
      <c r="G3" s="932"/>
      <c r="H3" s="933"/>
      <c r="I3" s="657" t="s">
        <v>254</v>
      </c>
      <c r="K3" s="931" t="s">
        <v>332</v>
      </c>
      <c r="L3" s="932"/>
      <c r="M3" s="933"/>
      <c r="N3" s="657" t="s">
        <v>254</v>
      </c>
    </row>
    <row r="4" spans="1:14" s="105" customFormat="1" ht="24.95" customHeight="1">
      <c r="A4" s="288" t="s">
        <v>323</v>
      </c>
      <c r="B4" s="503"/>
      <c r="C4" s="106" t="s">
        <v>61</v>
      </c>
      <c r="D4" s="684"/>
      <c r="F4" s="288" t="s">
        <v>323</v>
      </c>
      <c r="G4" s="498" t="str">
        <f t="shared" ref="G4:G9" si="0">IF(AND(ISNUMBER(B4)),B4,"")</f>
        <v/>
      </c>
      <c r="H4" s="429" t="s">
        <v>61</v>
      </c>
      <c r="I4" s="657"/>
      <c r="K4" s="288" t="s">
        <v>323</v>
      </c>
      <c r="L4" s="498" t="str">
        <f t="shared" ref="L4:L9" si="1">IF(AND(ISNUMBER(B4)),B4,"")</f>
        <v/>
      </c>
      <c r="M4" s="429" t="s">
        <v>61</v>
      </c>
      <c r="N4" s="657"/>
    </row>
    <row r="5" spans="1:14" s="107" customFormat="1" ht="24.95" customHeight="1">
      <c r="A5" s="288" t="s">
        <v>214</v>
      </c>
      <c r="B5" s="503"/>
      <c r="C5" s="106" t="s">
        <v>215</v>
      </c>
      <c r="D5" s="685"/>
      <c r="F5" s="288" t="s">
        <v>214</v>
      </c>
      <c r="G5" s="498" t="str">
        <f t="shared" si="0"/>
        <v/>
      </c>
      <c r="H5" s="429" t="s">
        <v>215</v>
      </c>
      <c r="I5" s="656"/>
      <c r="K5" s="288" t="s">
        <v>214</v>
      </c>
      <c r="L5" s="498" t="str">
        <f t="shared" si="1"/>
        <v/>
      </c>
      <c r="M5" s="429" t="s">
        <v>215</v>
      </c>
      <c r="N5" s="656"/>
    </row>
    <row r="6" spans="1:14" s="107" customFormat="1" ht="24.95" customHeight="1">
      <c r="A6" s="288" t="s">
        <v>360</v>
      </c>
      <c r="B6" s="503"/>
      <c r="C6" s="106" t="s">
        <v>215</v>
      </c>
      <c r="D6" s="685"/>
      <c r="F6" s="499" t="s">
        <v>306</v>
      </c>
      <c r="G6" s="498" t="str">
        <f t="shared" si="0"/>
        <v/>
      </c>
      <c r="H6" s="429" t="s">
        <v>215</v>
      </c>
      <c r="I6" s="656" t="s">
        <v>322</v>
      </c>
      <c r="K6" s="499" t="s">
        <v>306</v>
      </c>
      <c r="L6" s="498" t="str">
        <f t="shared" si="1"/>
        <v/>
      </c>
      <c r="M6" s="429" t="s">
        <v>215</v>
      </c>
      <c r="N6" s="656" t="s">
        <v>322</v>
      </c>
    </row>
    <row r="7" spans="1:14" s="107" customFormat="1" ht="24.95" customHeight="1">
      <c r="A7" s="288" t="s">
        <v>31</v>
      </c>
      <c r="B7" s="503"/>
      <c r="C7" s="106" t="s">
        <v>215</v>
      </c>
      <c r="D7" s="685"/>
      <c r="F7" s="288" t="s">
        <v>31</v>
      </c>
      <c r="G7" s="498" t="str">
        <f t="shared" si="0"/>
        <v/>
      </c>
      <c r="H7" s="429" t="s">
        <v>215</v>
      </c>
      <c r="I7" s="656"/>
      <c r="K7" s="288" t="s">
        <v>31</v>
      </c>
      <c r="L7" s="498" t="str">
        <f t="shared" si="1"/>
        <v/>
      </c>
      <c r="M7" s="429" t="s">
        <v>215</v>
      </c>
      <c r="N7" s="656"/>
    </row>
    <row r="8" spans="1:14" s="107" customFormat="1" ht="24.95" customHeight="1">
      <c r="A8" s="288" t="s">
        <v>361</v>
      </c>
      <c r="B8" s="504"/>
      <c r="C8" s="169" t="s">
        <v>366</v>
      </c>
      <c r="D8" s="685"/>
      <c r="F8" s="288" t="s">
        <v>62</v>
      </c>
      <c r="G8" s="498" t="str">
        <f t="shared" si="0"/>
        <v/>
      </c>
      <c r="H8" s="169" t="s">
        <v>216</v>
      </c>
      <c r="I8" s="656"/>
      <c r="K8" s="288" t="s">
        <v>62</v>
      </c>
      <c r="L8" s="498" t="str">
        <f t="shared" si="1"/>
        <v/>
      </c>
      <c r="M8" s="169" t="s">
        <v>216</v>
      </c>
      <c r="N8" s="656"/>
    </row>
    <row r="9" spans="1:14" s="107" customFormat="1" ht="30.6" customHeight="1">
      <c r="A9" s="288" t="s">
        <v>490</v>
      </c>
      <c r="B9" s="502">
        <f>IF(ISTEXT(B10),'B 1.5'!B5,0)</f>
        <v>0</v>
      </c>
      <c r="C9" s="169" t="s">
        <v>221</v>
      </c>
      <c r="D9" s="685" t="s">
        <v>493</v>
      </c>
      <c r="F9" s="431" t="s">
        <v>324</v>
      </c>
      <c r="G9" s="498">
        <f t="shared" si="0"/>
        <v>0</v>
      </c>
      <c r="H9" s="169" t="s">
        <v>221</v>
      </c>
      <c r="I9" s="661"/>
      <c r="K9" s="431" t="s">
        <v>324</v>
      </c>
      <c r="L9" s="498">
        <f t="shared" si="1"/>
        <v>0</v>
      </c>
      <c r="M9" s="169" t="s">
        <v>221</v>
      </c>
      <c r="N9" s="661"/>
    </row>
    <row r="10" spans="1:14" ht="24.75" customHeight="1" thickBot="1">
      <c r="A10" s="288" t="s">
        <v>326</v>
      </c>
      <c r="B10" s="370"/>
      <c r="C10" s="289"/>
      <c r="D10" s="686" t="s">
        <v>327</v>
      </c>
      <c r="E10" s="315"/>
      <c r="F10" s="287" t="s">
        <v>326</v>
      </c>
      <c r="G10" s="500" t="str">
        <f>IF(ISTEXT(B10),B10,"")</f>
        <v/>
      </c>
      <c r="H10" s="501"/>
      <c r="I10" s="658" t="s">
        <v>327</v>
      </c>
      <c r="K10" s="287" t="s">
        <v>326</v>
      </c>
      <c r="L10" s="500" t="str">
        <f>IF(ISTEXT(G10),G10,"")</f>
        <v/>
      </c>
      <c r="M10" s="687"/>
      <c r="N10" s="688" t="s">
        <v>327</v>
      </c>
    </row>
    <row r="11" spans="1:14">
      <c r="A11" s="285"/>
      <c r="C11" s="290"/>
      <c r="D11" s="662"/>
      <c r="E11" s="171"/>
      <c r="F11" s="108"/>
      <c r="H11" s="109"/>
      <c r="I11" s="662"/>
      <c r="K11" s="108"/>
      <c r="M11" s="109"/>
      <c r="N11" s="662"/>
    </row>
    <row r="12" spans="1:14" ht="15" thickBot="1">
      <c r="A12" s="286"/>
      <c r="C12" s="109"/>
      <c r="E12" s="171"/>
      <c r="F12" s="108"/>
      <c r="H12" s="109"/>
      <c r="K12" s="108"/>
      <c r="M12" s="109"/>
    </row>
    <row r="13" spans="1:14" ht="24.95" customHeight="1">
      <c r="A13" s="945" t="s">
        <v>217</v>
      </c>
      <c r="B13" s="946"/>
      <c r="C13" s="947"/>
      <c r="F13" s="934" t="s">
        <v>331</v>
      </c>
      <c r="G13" s="935"/>
      <c r="H13" s="936"/>
      <c r="K13" s="934" t="s">
        <v>333</v>
      </c>
      <c r="L13" s="935"/>
      <c r="M13" s="936"/>
    </row>
    <row r="14" spans="1:14" s="107" customFormat="1" ht="24.95" customHeight="1">
      <c r="A14" s="288" t="s">
        <v>491</v>
      </c>
      <c r="B14" s="346" t="str">
        <f>IF(AND(ISTEXT(Punktevergabe!E5),(Punktevergabe!E5="Neubau")),IF(G14&gt;0,G14,0),IF(L14&gt;0,L14,0))</f>
        <v/>
      </c>
      <c r="C14" s="24" t="s">
        <v>267</v>
      </c>
      <c r="D14" s="659"/>
      <c r="E14" s="1"/>
      <c r="F14" s="114" t="s">
        <v>31</v>
      </c>
      <c r="G14" s="413" t="str">
        <f>IF(AND(ISNUMBER(G7),ISNUMBER(G4),ISNUMBER(G9)),(G7-(G9/G4)*1),"")</f>
        <v/>
      </c>
      <c r="H14" s="24" t="s">
        <v>267</v>
      </c>
      <c r="I14" s="659"/>
      <c r="K14" s="114" t="s">
        <v>31</v>
      </c>
      <c r="L14" s="413" t="str">
        <f>IF(AND(ISNUMBER(L7),ISNUMBER(L4),ISNUMBER(L9)),(L7-(L9/L4)*1),"")</f>
        <v/>
      </c>
      <c r="M14" s="24" t="s">
        <v>267</v>
      </c>
      <c r="N14" s="659"/>
    </row>
    <row r="15" spans="1:14" s="107" customFormat="1" ht="24.95" customHeight="1" thickBot="1">
      <c r="A15" s="287" t="s">
        <v>492</v>
      </c>
      <c r="B15" s="346" t="str">
        <f>IF(AND(ISTEXT(Punktevergabe!E6),(Punktevergabe!E6="Neubau")),IF(G15&gt;0,G15,0),IF(L15&gt;0,L15,0))</f>
        <v/>
      </c>
      <c r="C15" s="526" t="s">
        <v>365</v>
      </c>
      <c r="D15" s="659"/>
      <c r="F15" s="114" t="s">
        <v>62</v>
      </c>
      <c r="G15" s="413" t="str">
        <f>IF(AND(ISNUMBER(G8),ISNUMBER(G4),ISNUMBER(G9)),(G8-(G9/G4)*0.532),"")</f>
        <v/>
      </c>
      <c r="H15" s="106" t="s">
        <v>268</v>
      </c>
      <c r="I15" s="659"/>
      <c r="K15" s="114" t="s">
        <v>62</v>
      </c>
      <c r="L15" s="413" t="str">
        <f>IF(AND(ISNUMBER(L8),ISNUMBER(L4),ISNUMBER(L9)),(L8-(L9/L4)*0.532),"")</f>
        <v/>
      </c>
      <c r="M15" s="106" t="s">
        <v>268</v>
      </c>
      <c r="N15" s="659"/>
    </row>
    <row r="16" spans="1:14" s="107" customFormat="1" ht="24.95" customHeight="1" thickBot="1">
      <c r="A16" s="3" t="s">
        <v>218</v>
      </c>
      <c r="B16" s="291" t="str">
        <f>IF(AND(ISTEXT(Punktevergabe!E5),(Punktevergabe!E5="Neubau")),'B1 '!G16,L16)</f>
        <v/>
      </c>
      <c r="C16" s="527"/>
      <c r="D16" s="659"/>
      <c r="F16" s="159" t="s">
        <v>218</v>
      </c>
      <c r="G16" s="160" t="str">
        <f>IF(ISNUMBER(G5),IF(G5&lt;=G25,H25,IF(AND(G5&lt;=G24,G5&gt;G25),ROUND(H25+(H24-H25)/(G24-G25)*(G5-G25),H24),"Mindestanforderung nicht erfüllt")),"")</f>
        <v/>
      </c>
      <c r="H16" s="111"/>
      <c r="I16" s="659"/>
      <c r="K16" s="159" t="s">
        <v>218</v>
      </c>
      <c r="L16" s="160" t="str">
        <f>IF(ISNUMBER(L5),IF(L5&lt;=L25,M25,IF(AND(L5&lt;=L24,L5&gt;L25),ROUND(M25+(M24-M25)/(L24-L25)*(L5-L25),M24),"Mindestanforderung nicht erfüllt")),"")</f>
        <v/>
      </c>
      <c r="M16" s="111"/>
      <c r="N16" s="659"/>
    </row>
    <row r="17" spans="1:14" s="107" customFormat="1" ht="24.75" customHeight="1" thickBot="1">
      <c r="A17" s="3" t="s">
        <v>307</v>
      </c>
      <c r="B17" s="291" t="str">
        <f>IF(AND(ISTEXT(Punktevergabe!E5),(Punktevergabe!E5="Neubau")),'B1 '!G17,L17)</f>
        <v/>
      </c>
      <c r="C17" s="528"/>
      <c r="D17" s="659"/>
      <c r="F17" s="159" t="s">
        <v>307</v>
      </c>
      <c r="G17" s="160" t="str">
        <f>IF(ISNUMBER(G6),IF(G6&lt;=G27,H27,IF(AND(G6&lt;=G26,G6&gt;G27),ROUND(H27+(H26-H27)/(G26-G27)*(G6-G27),H26),"Mindestanforderung nicht erfüllt")),"")</f>
        <v/>
      </c>
      <c r="H17" s="111"/>
      <c r="I17" s="659"/>
      <c r="K17" s="159" t="s">
        <v>307</v>
      </c>
      <c r="L17" s="160" t="str">
        <f>IF(ISNUMBER(L6),IF(L6&lt;=L27,M27,IF(AND(L6&lt;=L26,L6&gt;L27),ROUND(M27+(M26-M27)/(L26-L27)*(L6-L27),M26),"Mindestanforderung nicht erfüllt")),"")</f>
        <v/>
      </c>
      <c r="M17" s="111"/>
      <c r="N17" s="659"/>
    </row>
    <row r="18" spans="1:14" ht="24.75" customHeight="1" thickBot="1">
      <c r="A18" s="292" t="s">
        <v>219</v>
      </c>
      <c r="B18" s="172" t="str">
        <f>IF(AND(ISTEXT(Punktevergabe!E5),(Punktevergabe!E5="Neubau")),'B1 '!G18,L18)</f>
        <v/>
      </c>
      <c r="C18" s="528"/>
      <c r="D18" s="659"/>
      <c r="E18" s="107"/>
      <c r="F18" s="159" t="s">
        <v>219</v>
      </c>
      <c r="G18" s="172" t="str">
        <f>IF(ISNUMBER(G14),IF(G14&lt;=G29,H29,IF(AND(G14&lt;=G28,G14&gt;G29),ROUND(H29+(H28-H29)/(G28-G29)*(G14-G29),H28),"Mindestanforderung nicht erfüllt")),"")</f>
        <v/>
      </c>
      <c r="H18" s="111"/>
      <c r="I18" s="659"/>
      <c r="K18" s="159" t="s">
        <v>219</v>
      </c>
      <c r="L18" s="172" t="str">
        <f>IF(ISNUMBER(L14),IF(L14&lt;=L29,M29,IF(AND(L14&lt;=L28,L14&gt;L29),ROUND(M29+(M28-M29)/(L28-L29)*(L14-L29),M28),"Mindestanforderung nicht erfüllt")),"")</f>
        <v/>
      </c>
      <c r="M18" s="111"/>
      <c r="N18" s="659"/>
    </row>
    <row r="19" spans="1:14" ht="24.75" customHeight="1" thickBot="1">
      <c r="A19" s="3" t="s">
        <v>367</v>
      </c>
      <c r="B19" s="291" t="str">
        <f>IF(AND(ISTEXT(Punktevergabe!E5),(Punktevergabe!E5="Neubau")),'B1 '!G19,L19)</f>
        <v/>
      </c>
      <c r="C19" s="529"/>
      <c r="F19" s="159" t="s">
        <v>62</v>
      </c>
      <c r="G19" s="172" t="str">
        <f>IF(ISNUMBER(G15),IF(G15&lt;=G31,H31,IF(AND(G15&lt;=G30,G15&gt;G31),ROUND(H31+(H30-H31)/(G30-G31)*(G15-G31),H30),"Mindestanforderung nicht erfüllt")),"")</f>
        <v/>
      </c>
      <c r="H19" s="112"/>
      <c r="K19" s="159" t="s">
        <v>62</v>
      </c>
      <c r="L19" s="172" t="str">
        <f>IF(ISNUMBER(L15),IF(L15&lt;=L31,M31,IF(AND(L15&lt;=L30,L15&gt;L31),ROUND(M31+(M30-M31)/(L30-L31)*(L15-L31),M30),"Mindestanforderung nicht erfüllt")),"")</f>
        <v/>
      </c>
      <c r="M19" s="112"/>
    </row>
    <row r="20" spans="1:14">
      <c r="A20" s="113"/>
      <c r="B20" s="113"/>
      <c r="C20" s="113"/>
    </row>
    <row r="22" spans="1:14" ht="15" thickBot="1"/>
    <row r="23" spans="1:14">
      <c r="F23" s="404"/>
      <c r="G23" s="405" t="s">
        <v>423</v>
      </c>
      <c r="H23" s="406" t="s">
        <v>6</v>
      </c>
      <c r="K23" s="404"/>
      <c r="L23" s="405" t="s">
        <v>423</v>
      </c>
      <c r="M23" s="406" t="s">
        <v>6</v>
      </c>
    </row>
    <row r="24" spans="1:14" ht="15.75">
      <c r="F24" s="407" t="s">
        <v>426</v>
      </c>
      <c r="G24" s="411">
        <v>45</v>
      </c>
      <c r="H24" s="408">
        <v>0</v>
      </c>
      <c r="K24" s="407" t="s">
        <v>426</v>
      </c>
      <c r="L24" s="411">
        <v>58</v>
      </c>
      <c r="M24" s="408">
        <v>0</v>
      </c>
    </row>
    <row r="25" spans="1:14" ht="15.75">
      <c r="F25" s="407" t="s">
        <v>427</v>
      </c>
      <c r="G25" s="411">
        <v>15</v>
      </c>
      <c r="H25" s="408">
        <v>50</v>
      </c>
      <c r="K25" s="407" t="s">
        <v>427</v>
      </c>
      <c r="L25" s="411">
        <v>25</v>
      </c>
      <c r="M25" s="408">
        <v>50</v>
      </c>
    </row>
    <row r="26" spans="1:14" ht="15.75">
      <c r="F26" s="407" t="s">
        <v>428</v>
      </c>
      <c r="G26" s="411">
        <v>5</v>
      </c>
      <c r="H26" s="408">
        <v>0</v>
      </c>
      <c r="K26" s="407" t="s">
        <v>428</v>
      </c>
      <c r="L26" s="411">
        <v>10</v>
      </c>
      <c r="M26" s="408">
        <v>0</v>
      </c>
    </row>
    <row r="27" spans="1:14" ht="15.75">
      <c r="F27" s="407" t="s">
        <v>429</v>
      </c>
      <c r="G27" s="411">
        <v>0</v>
      </c>
      <c r="H27" s="408">
        <v>45</v>
      </c>
      <c r="K27" s="407" t="s">
        <v>429</v>
      </c>
      <c r="L27" s="411">
        <v>2</v>
      </c>
      <c r="M27" s="408">
        <v>45</v>
      </c>
    </row>
    <row r="28" spans="1:14" ht="15.75">
      <c r="F28" s="407" t="s">
        <v>430</v>
      </c>
      <c r="G28" s="411">
        <v>180</v>
      </c>
      <c r="H28" s="408">
        <v>0</v>
      </c>
      <c r="K28" s="407" t="s">
        <v>430</v>
      </c>
      <c r="L28" s="411">
        <v>200</v>
      </c>
      <c r="M28" s="408">
        <v>0</v>
      </c>
    </row>
    <row r="29" spans="1:14" ht="15.75">
      <c r="F29" s="407" t="s">
        <v>431</v>
      </c>
      <c r="G29" s="411">
        <v>60</v>
      </c>
      <c r="H29" s="408">
        <v>120</v>
      </c>
      <c r="K29" s="407" t="s">
        <v>431</v>
      </c>
      <c r="L29" s="411">
        <v>60</v>
      </c>
      <c r="M29" s="408">
        <v>120</v>
      </c>
    </row>
    <row r="30" spans="1:14" ht="15.75">
      <c r="F30" s="407" t="s">
        <v>424</v>
      </c>
      <c r="G30" s="411">
        <v>35</v>
      </c>
      <c r="H30" s="408">
        <v>0</v>
      </c>
      <c r="K30" s="407" t="s">
        <v>424</v>
      </c>
      <c r="L30" s="411">
        <v>45</v>
      </c>
      <c r="M30" s="408">
        <v>0</v>
      </c>
    </row>
    <row r="31" spans="1:14" ht="16.5" thickBot="1">
      <c r="F31" s="409" t="s">
        <v>425</v>
      </c>
      <c r="G31" s="412">
        <v>25.5</v>
      </c>
      <c r="H31" s="410">
        <v>135</v>
      </c>
      <c r="K31" s="409" t="s">
        <v>425</v>
      </c>
      <c r="L31" s="412">
        <v>28.5</v>
      </c>
      <c r="M31" s="410">
        <v>135</v>
      </c>
    </row>
  </sheetData>
  <sheetProtection algorithmName="SHA-512" hashValue="ch+WiIaX8JWVc8buXVWaVHQXAFvfaDkJkKvkzoU2SDwS6pmONjm9wTc8MIccnw0nb5ztweoaUbEVrGPHKebNmg==" saltValue="dEoIm7O60qfywuhhC7sfpQ==" spinCount="100000" sheet="1" selectLockedCells="1"/>
  <mergeCells count="9">
    <mergeCell ref="K3:M3"/>
    <mergeCell ref="K13:M13"/>
    <mergeCell ref="F1:H1"/>
    <mergeCell ref="K1:M1"/>
    <mergeCell ref="A3:C3"/>
    <mergeCell ref="A13:C13"/>
    <mergeCell ref="A1:C1"/>
    <mergeCell ref="F3:H3"/>
    <mergeCell ref="F13:H13"/>
  </mergeCells>
  <dataValidations disablePrompts="1" count="1">
    <dataValidation allowBlank="1" showInputMessage="1" showErrorMessage="1" prompt="inklusiv aller internen Lasten auch Betriebsstrom" sqref="B6"/>
  </dataValidations>
  <printOptions horizontalCentered="1"/>
  <pageMargins left="0.59055118110236227" right="0.59055118110236227" top="0.59055118110236227" bottom="0.59055118110236227" header="0.31496062992125984" footer="0.31496062992125984"/>
  <pageSetup paperSize="9" scale="3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AB180"/>
  <sheetViews>
    <sheetView zoomScale="55" zoomScaleNormal="55" workbookViewId="0">
      <selection activeCell="A69" sqref="A69"/>
    </sheetView>
  </sheetViews>
  <sheetFormatPr baseColWidth="10" defaultColWidth="11.42578125" defaultRowHeight="14.25"/>
  <cols>
    <col min="1" max="1" width="11.42578125" style="1"/>
    <col min="2" max="28" width="11.28515625" style="1" customWidth="1"/>
    <col min="29" max="16384" width="11.42578125" style="1"/>
  </cols>
  <sheetData>
    <row r="1" spans="2:28" ht="15" thickBot="1"/>
    <row r="2" spans="2:28">
      <c r="B2" s="948" t="s">
        <v>328</v>
      </c>
      <c r="C2" s="949"/>
      <c r="D2" s="950"/>
      <c r="E2" s="950"/>
      <c r="F2" s="950"/>
      <c r="G2" s="950"/>
      <c r="H2" s="950"/>
      <c r="I2" s="950"/>
      <c r="J2" s="950"/>
      <c r="K2" s="950"/>
      <c r="L2" s="950"/>
      <c r="M2" s="950"/>
      <c r="N2" s="951"/>
      <c r="P2" s="955" t="s">
        <v>329</v>
      </c>
      <c r="Q2" s="956"/>
      <c r="R2" s="956"/>
      <c r="S2" s="956"/>
      <c r="T2" s="956"/>
      <c r="U2" s="956"/>
      <c r="V2" s="956"/>
      <c r="W2" s="956"/>
      <c r="X2" s="956"/>
      <c r="Y2" s="956"/>
      <c r="Z2" s="956"/>
      <c r="AA2" s="956"/>
      <c r="AB2" s="957"/>
    </row>
    <row r="3" spans="2:28" ht="15" thickBot="1">
      <c r="B3" s="952"/>
      <c r="C3" s="953"/>
      <c r="D3" s="953"/>
      <c r="E3" s="953"/>
      <c r="F3" s="953"/>
      <c r="G3" s="953"/>
      <c r="H3" s="953"/>
      <c r="I3" s="953"/>
      <c r="J3" s="953"/>
      <c r="K3" s="953"/>
      <c r="L3" s="953"/>
      <c r="M3" s="953"/>
      <c r="N3" s="954"/>
      <c r="P3" s="958"/>
      <c r="Q3" s="959"/>
      <c r="R3" s="959"/>
      <c r="S3" s="959"/>
      <c r="T3" s="959"/>
      <c r="U3" s="959"/>
      <c r="V3" s="959"/>
      <c r="W3" s="959"/>
      <c r="X3" s="959"/>
      <c r="Y3" s="959"/>
      <c r="Z3" s="959"/>
      <c r="AA3" s="959"/>
      <c r="AB3" s="960"/>
    </row>
    <row r="4" spans="2:28">
      <c r="B4" s="182"/>
      <c r="C4" s="182"/>
      <c r="D4" s="182"/>
      <c r="E4" s="182"/>
      <c r="F4" s="182"/>
      <c r="G4" s="182"/>
      <c r="H4" s="182"/>
      <c r="I4" s="182"/>
      <c r="J4" s="182"/>
      <c r="K4" s="182"/>
      <c r="L4" s="182"/>
      <c r="M4" s="182"/>
      <c r="N4" s="182"/>
      <c r="P4" s="183"/>
      <c r="Q4" s="183"/>
      <c r="R4" s="183"/>
      <c r="S4" s="183"/>
      <c r="T4" s="183"/>
      <c r="U4" s="183"/>
      <c r="V4" s="183"/>
      <c r="W4" s="183"/>
      <c r="X4" s="183"/>
      <c r="Y4" s="183"/>
      <c r="Z4" s="183"/>
      <c r="AA4" s="183"/>
      <c r="AB4" s="183"/>
    </row>
    <row r="5" spans="2:28">
      <c r="B5" s="182"/>
      <c r="C5" s="182"/>
      <c r="D5" s="182"/>
      <c r="E5" s="182"/>
      <c r="F5" s="182"/>
      <c r="G5" s="182"/>
      <c r="H5" s="182"/>
      <c r="I5" s="182"/>
      <c r="J5" s="182"/>
      <c r="K5" s="182"/>
      <c r="L5" s="182"/>
      <c r="M5" s="182"/>
      <c r="N5" s="182"/>
      <c r="P5" s="183"/>
      <c r="Q5" s="183"/>
      <c r="R5" s="183"/>
      <c r="S5" s="183"/>
      <c r="T5" s="183"/>
      <c r="U5" s="183"/>
      <c r="V5" s="183"/>
      <c r="W5" s="183"/>
      <c r="X5" s="183"/>
      <c r="Y5" s="183"/>
      <c r="Z5" s="183"/>
      <c r="AA5" s="183"/>
      <c r="AB5" s="183"/>
    </row>
    <row r="6" spans="2:28">
      <c r="B6" s="182"/>
      <c r="C6" s="182"/>
      <c r="D6" s="182"/>
      <c r="E6" s="182"/>
      <c r="F6" s="182"/>
      <c r="G6" s="182"/>
      <c r="H6" s="182"/>
      <c r="I6" s="182"/>
      <c r="J6" s="182"/>
      <c r="K6" s="182"/>
      <c r="L6" s="182"/>
      <c r="M6" s="182"/>
      <c r="N6" s="182"/>
      <c r="P6" s="183"/>
      <c r="Q6" s="183"/>
      <c r="R6" s="183"/>
      <c r="S6" s="183"/>
      <c r="T6" s="183"/>
      <c r="U6" s="183"/>
      <c r="V6" s="183"/>
      <c r="W6" s="183"/>
      <c r="X6" s="183"/>
      <c r="Y6" s="183"/>
      <c r="Z6" s="183"/>
      <c r="AA6" s="183"/>
      <c r="AB6" s="183"/>
    </row>
    <row r="7" spans="2:28">
      <c r="B7" s="182"/>
      <c r="C7" s="182"/>
      <c r="D7" s="182"/>
      <c r="E7" s="182"/>
      <c r="F7" s="182"/>
      <c r="G7" s="182"/>
      <c r="H7" s="182"/>
      <c r="I7" s="182"/>
      <c r="J7" s="182"/>
      <c r="K7" s="182"/>
      <c r="L7" s="182"/>
      <c r="M7" s="182"/>
      <c r="N7" s="182"/>
      <c r="P7" s="183"/>
      <c r="Q7" s="183"/>
      <c r="R7" s="183"/>
      <c r="S7" s="183"/>
      <c r="T7" s="183"/>
      <c r="U7" s="183"/>
      <c r="V7" s="183"/>
      <c r="W7" s="183"/>
      <c r="X7" s="183"/>
      <c r="Y7" s="183"/>
      <c r="Z7" s="183"/>
      <c r="AA7" s="183"/>
      <c r="AB7" s="183"/>
    </row>
    <row r="8" spans="2:28">
      <c r="B8" s="182"/>
      <c r="C8" s="182"/>
      <c r="D8" s="182"/>
      <c r="E8" s="182"/>
      <c r="F8" s="182"/>
      <c r="G8" s="182"/>
      <c r="H8" s="182"/>
      <c r="I8" s="182"/>
      <c r="J8" s="182"/>
      <c r="K8" s="182"/>
      <c r="L8" s="182"/>
      <c r="M8" s="182"/>
      <c r="N8" s="182"/>
      <c r="P8" s="183"/>
      <c r="Q8" s="183"/>
      <c r="R8" s="183"/>
      <c r="S8" s="183"/>
      <c r="T8" s="183"/>
      <c r="U8" s="183"/>
      <c r="V8" s="183"/>
      <c r="W8" s="183"/>
      <c r="X8" s="183"/>
      <c r="Y8" s="183"/>
      <c r="Z8" s="183"/>
      <c r="AA8" s="183"/>
      <c r="AB8" s="183"/>
    </row>
    <row r="9" spans="2:28">
      <c r="B9" s="182"/>
      <c r="C9" s="182"/>
      <c r="D9" s="182"/>
      <c r="E9" s="182"/>
      <c r="F9" s="182"/>
      <c r="G9" s="182"/>
      <c r="H9" s="182"/>
      <c r="I9" s="182"/>
      <c r="J9" s="182"/>
      <c r="K9" s="182"/>
      <c r="L9" s="182"/>
      <c r="M9" s="182"/>
      <c r="N9" s="182"/>
      <c r="P9" s="183"/>
      <c r="Q9" s="183"/>
      <c r="R9" s="183"/>
      <c r="S9" s="183"/>
      <c r="T9" s="183"/>
      <c r="U9" s="183"/>
      <c r="V9" s="183"/>
      <c r="W9" s="183"/>
      <c r="X9" s="183"/>
      <c r="Y9" s="183"/>
      <c r="Z9" s="183"/>
      <c r="AA9" s="183"/>
      <c r="AB9" s="183"/>
    </row>
    <row r="10" spans="2:28">
      <c r="B10" s="182"/>
      <c r="C10" s="182"/>
      <c r="D10" s="182"/>
      <c r="E10" s="182"/>
      <c r="F10" s="182"/>
      <c r="G10" s="182"/>
      <c r="H10" s="182"/>
      <c r="I10" s="182"/>
      <c r="J10" s="182"/>
      <c r="K10" s="182"/>
      <c r="L10" s="182"/>
      <c r="M10" s="182"/>
      <c r="N10" s="182"/>
      <c r="P10" s="183"/>
      <c r="Q10" s="183"/>
      <c r="R10" s="183"/>
      <c r="S10" s="183"/>
      <c r="T10" s="183"/>
      <c r="U10" s="183"/>
      <c r="V10" s="183"/>
      <c r="W10" s="183"/>
      <c r="X10" s="183"/>
      <c r="Y10" s="183"/>
      <c r="Z10" s="183"/>
      <c r="AA10" s="183"/>
      <c r="AB10" s="183"/>
    </row>
    <row r="11" spans="2:28">
      <c r="B11" s="182"/>
      <c r="C11" s="182"/>
      <c r="D11" s="182"/>
      <c r="E11" s="182"/>
      <c r="F11" s="182"/>
      <c r="G11" s="182"/>
      <c r="H11" s="182"/>
      <c r="I11" s="182"/>
      <c r="J11" s="182"/>
      <c r="K11" s="182"/>
      <c r="L11" s="182"/>
      <c r="M11" s="182"/>
      <c r="N11" s="182"/>
      <c r="P11" s="183"/>
      <c r="Q11" s="183"/>
      <c r="R11" s="183"/>
      <c r="S11" s="183"/>
      <c r="T11" s="183"/>
      <c r="U11" s="183"/>
      <c r="V11" s="183"/>
      <c r="W11" s="183"/>
      <c r="X11" s="183"/>
      <c r="Y11" s="183"/>
      <c r="Z11" s="183"/>
      <c r="AA11" s="183"/>
      <c r="AB11" s="183"/>
    </row>
    <row r="12" spans="2:28">
      <c r="B12" s="182"/>
      <c r="C12" s="182"/>
      <c r="D12" s="182"/>
      <c r="E12" s="182"/>
      <c r="F12" s="182"/>
      <c r="G12" s="182"/>
      <c r="H12" s="182"/>
      <c r="I12" s="182"/>
      <c r="J12" s="182"/>
      <c r="K12" s="182"/>
      <c r="L12" s="182"/>
      <c r="M12" s="182"/>
      <c r="N12" s="182"/>
      <c r="P12" s="183"/>
      <c r="Q12" s="183"/>
      <c r="R12" s="183"/>
      <c r="S12" s="183"/>
      <c r="T12" s="183"/>
      <c r="U12" s="183"/>
      <c r="V12" s="183"/>
      <c r="W12" s="183"/>
      <c r="X12" s="183"/>
      <c r="Y12" s="183"/>
      <c r="Z12" s="183"/>
      <c r="AA12" s="183"/>
      <c r="AB12" s="183"/>
    </row>
    <row r="13" spans="2:28">
      <c r="B13" s="182"/>
      <c r="C13" s="182"/>
      <c r="D13" s="182"/>
      <c r="E13" s="182"/>
      <c r="F13" s="182"/>
      <c r="G13" s="182"/>
      <c r="H13" s="182"/>
      <c r="I13" s="182"/>
      <c r="J13" s="182"/>
      <c r="K13" s="182"/>
      <c r="L13" s="182"/>
      <c r="M13" s="182"/>
      <c r="N13" s="182"/>
      <c r="P13" s="183"/>
      <c r="Q13" s="183"/>
      <c r="R13" s="183"/>
      <c r="S13" s="183"/>
      <c r="T13" s="183"/>
      <c r="U13" s="183"/>
      <c r="V13" s="183"/>
      <c r="W13" s="183"/>
      <c r="X13" s="183"/>
      <c r="Y13" s="183"/>
      <c r="Z13" s="183"/>
      <c r="AA13" s="183"/>
      <c r="AB13" s="183"/>
    </row>
    <row r="14" spans="2:28">
      <c r="B14" s="182"/>
      <c r="C14" s="182"/>
      <c r="D14" s="182"/>
      <c r="E14" s="182"/>
      <c r="F14" s="182"/>
      <c r="G14" s="182"/>
      <c r="H14" s="182"/>
      <c r="I14" s="182"/>
      <c r="J14" s="182"/>
      <c r="K14" s="182"/>
      <c r="L14" s="182"/>
      <c r="M14" s="182"/>
      <c r="N14" s="182"/>
      <c r="P14" s="183"/>
      <c r="Q14" s="183"/>
      <c r="R14" s="183"/>
      <c r="S14" s="183"/>
      <c r="T14" s="183"/>
      <c r="U14" s="183"/>
      <c r="V14" s="183"/>
      <c r="W14" s="183"/>
      <c r="X14" s="183"/>
      <c r="Y14" s="183"/>
      <c r="Z14" s="183"/>
      <c r="AA14" s="183"/>
      <c r="AB14" s="183"/>
    </row>
    <row r="15" spans="2:28">
      <c r="B15" s="182"/>
      <c r="C15" s="182"/>
      <c r="D15" s="182"/>
      <c r="E15" s="182"/>
      <c r="F15" s="182"/>
      <c r="G15" s="182"/>
      <c r="H15" s="182"/>
      <c r="I15" s="182"/>
      <c r="J15" s="182"/>
      <c r="K15" s="182"/>
      <c r="L15" s="182"/>
      <c r="M15" s="182"/>
      <c r="N15" s="182"/>
      <c r="P15" s="183"/>
      <c r="Q15" s="183"/>
      <c r="R15" s="183"/>
      <c r="S15" s="183"/>
      <c r="T15" s="183"/>
      <c r="U15" s="183"/>
      <c r="V15" s="183"/>
      <c r="W15" s="183"/>
      <c r="X15" s="183"/>
      <c r="Y15" s="183"/>
      <c r="Z15" s="183"/>
      <c r="AA15" s="183"/>
      <c r="AB15" s="183"/>
    </row>
    <row r="16" spans="2:28">
      <c r="B16" s="182"/>
      <c r="C16" s="182"/>
      <c r="D16" s="182"/>
      <c r="E16" s="182"/>
      <c r="F16" s="182"/>
      <c r="G16" s="182"/>
      <c r="H16" s="182"/>
      <c r="I16" s="182"/>
      <c r="J16" s="182"/>
      <c r="K16" s="182"/>
      <c r="L16" s="182"/>
      <c r="M16" s="182"/>
      <c r="N16" s="182"/>
      <c r="P16" s="183"/>
      <c r="Q16" s="183"/>
      <c r="R16" s="183"/>
      <c r="S16" s="183"/>
      <c r="T16" s="183"/>
      <c r="U16" s="183"/>
      <c r="V16" s="183"/>
      <c r="W16" s="183"/>
      <c r="X16" s="183"/>
      <c r="Y16" s="183"/>
      <c r="Z16" s="183"/>
      <c r="AA16" s="183"/>
      <c r="AB16" s="183"/>
    </row>
    <row r="17" spans="2:28">
      <c r="B17" s="182"/>
      <c r="C17" s="182"/>
      <c r="D17" s="182"/>
      <c r="E17" s="182"/>
      <c r="F17" s="182"/>
      <c r="G17" s="182"/>
      <c r="H17" s="182"/>
      <c r="I17" s="182"/>
      <c r="J17" s="182"/>
      <c r="K17" s="182"/>
      <c r="L17" s="182"/>
      <c r="M17" s="182"/>
      <c r="N17" s="182"/>
      <c r="P17" s="183"/>
      <c r="Q17" s="183"/>
      <c r="R17" s="183"/>
      <c r="S17" s="183"/>
      <c r="T17" s="183"/>
      <c r="U17" s="183"/>
      <c r="V17" s="183"/>
      <c r="W17" s="183"/>
      <c r="X17" s="183"/>
      <c r="Y17" s="183"/>
      <c r="Z17" s="183"/>
      <c r="AA17" s="183"/>
      <c r="AB17" s="183"/>
    </row>
    <row r="18" spans="2:28">
      <c r="B18" s="182"/>
      <c r="C18" s="182"/>
      <c r="D18" s="182"/>
      <c r="E18" s="182"/>
      <c r="F18" s="182"/>
      <c r="G18" s="182"/>
      <c r="H18" s="182"/>
      <c r="I18" s="182"/>
      <c r="J18" s="182"/>
      <c r="K18" s="182"/>
      <c r="L18" s="182"/>
      <c r="M18" s="182"/>
      <c r="N18" s="182"/>
      <c r="P18" s="183"/>
      <c r="Q18" s="183"/>
      <c r="R18" s="183"/>
      <c r="S18" s="183"/>
      <c r="T18" s="183"/>
      <c r="U18" s="183"/>
      <c r="V18" s="183"/>
      <c r="W18" s="183"/>
      <c r="X18" s="183"/>
      <c r="Y18" s="183"/>
      <c r="Z18" s="183"/>
      <c r="AA18" s="183"/>
      <c r="AB18" s="183"/>
    </row>
    <row r="19" spans="2:28">
      <c r="B19" s="182"/>
      <c r="C19" s="182"/>
      <c r="D19" s="182"/>
      <c r="E19" s="182"/>
      <c r="F19" s="182"/>
      <c r="G19" s="182"/>
      <c r="H19" s="182"/>
      <c r="I19" s="182"/>
      <c r="J19" s="182"/>
      <c r="K19" s="182"/>
      <c r="L19" s="182"/>
      <c r="M19" s="182"/>
      <c r="N19" s="182"/>
      <c r="P19" s="183"/>
      <c r="Q19" s="183"/>
      <c r="R19" s="183"/>
      <c r="S19" s="183"/>
      <c r="T19" s="183"/>
      <c r="U19" s="183"/>
      <c r="V19" s="183"/>
      <c r="W19" s="183"/>
      <c r="X19" s="183"/>
      <c r="Y19" s="183"/>
      <c r="Z19" s="183"/>
      <c r="AA19" s="183"/>
      <c r="AB19" s="183"/>
    </row>
    <row r="20" spans="2:28">
      <c r="B20" s="182"/>
      <c r="C20" s="182"/>
      <c r="D20" s="182"/>
      <c r="E20" s="182"/>
      <c r="F20" s="182"/>
      <c r="G20" s="182"/>
      <c r="H20" s="182"/>
      <c r="I20" s="182"/>
      <c r="J20" s="182"/>
      <c r="K20" s="182"/>
      <c r="L20" s="182"/>
      <c r="M20" s="182"/>
      <c r="N20" s="182"/>
      <c r="P20" s="183"/>
      <c r="Q20" s="183"/>
      <c r="R20" s="183"/>
      <c r="S20" s="183"/>
      <c r="T20" s="183"/>
      <c r="U20" s="183"/>
      <c r="V20" s="183"/>
      <c r="W20" s="183"/>
      <c r="X20" s="183"/>
      <c r="Y20" s="183"/>
      <c r="Z20" s="183"/>
      <c r="AA20" s="183"/>
      <c r="AB20" s="183"/>
    </row>
    <row r="21" spans="2:28">
      <c r="B21" s="182"/>
      <c r="C21" s="182"/>
      <c r="D21" s="182"/>
      <c r="E21" s="182"/>
      <c r="F21" s="182"/>
      <c r="G21" s="182"/>
      <c r="H21" s="182"/>
      <c r="I21" s="182"/>
      <c r="J21" s="182"/>
      <c r="K21" s="182"/>
      <c r="L21" s="182"/>
      <c r="M21" s="182"/>
      <c r="N21" s="182"/>
      <c r="P21" s="183"/>
      <c r="Q21" s="183"/>
      <c r="R21" s="183"/>
      <c r="S21" s="183"/>
      <c r="T21" s="183"/>
      <c r="U21" s="183"/>
      <c r="V21" s="183"/>
      <c r="W21" s="183"/>
      <c r="X21" s="183"/>
      <c r="Y21" s="183"/>
      <c r="Z21" s="183"/>
      <c r="AA21" s="183"/>
      <c r="AB21" s="183"/>
    </row>
    <row r="22" spans="2:28">
      <c r="B22" s="182"/>
      <c r="C22" s="182"/>
      <c r="D22" s="182"/>
      <c r="E22" s="182"/>
      <c r="F22" s="182"/>
      <c r="G22" s="182"/>
      <c r="H22" s="182"/>
      <c r="I22" s="182"/>
      <c r="J22" s="182"/>
      <c r="K22" s="182"/>
      <c r="L22" s="182"/>
      <c r="M22" s="182"/>
      <c r="N22" s="182"/>
      <c r="P22" s="183"/>
      <c r="Q22" s="183"/>
      <c r="R22" s="183"/>
      <c r="S22" s="183"/>
      <c r="T22" s="183"/>
      <c r="U22" s="183"/>
      <c r="V22" s="183"/>
      <c r="W22" s="183"/>
      <c r="X22" s="183"/>
      <c r="Y22" s="183"/>
      <c r="Z22" s="183"/>
      <c r="AA22" s="183"/>
      <c r="AB22" s="183"/>
    </row>
    <row r="23" spans="2:28">
      <c r="B23" s="182"/>
      <c r="C23" s="182"/>
      <c r="D23" s="182"/>
      <c r="E23" s="182"/>
      <c r="F23" s="182"/>
      <c r="G23" s="182"/>
      <c r="H23" s="182"/>
      <c r="I23" s="182"/>
      <c r="J23" s="182"/>
      <c r="K23" s="182"/>
      <c r="L23" s="182"/>
      <c r="M23" s="182"/>
      <c r="N23" s="182"/>
      <c r="P23" s="183"/>
      <c r="Q23" s="183"/>
      <c r="R23" s="183"/>
      <c r="S23" s="183"/>
      <c r="T23" s="183"/>
      <c r="U23" s="183"/>
      <c r="V23" s="183"/>
      <c r="W23" s="183"/>
      <c r="X23" s="183"/>
      <c r="Y23" s="183"/>
      <c r="Z23" s="183"/>
      <c r="AA23" s="183"/>
      <c r="AB23" s="183"/>
    </row>
    <row r="24" spans="2:28">
      <c r="B24" s="182"/>
      <c r="C24" s="182"/>
      <c r="D24" s="182"/>
      <c r="E24" s="182"/>
      <c r="F24" s="182"/>
      <c r="G24" s="182"/>
      <c r="H24" s="182"/>
      <c r="I24" s="182"/>
      <c r="J24" s="182"/>
      <c r="K24" s="182"/>
      <c r="L24" s="182"/>
      <c r="M24" s="182"/>
      <c r="N24" s="182"/>
      <c r="P24" s="183"/>
      <c r="Q24" s="183"/>
      <c r="R24" s="183"/>
      <c r="S24" s="183"/>
      <c r="T24" s="183"/>
      <c r="U24" s="183"/>
      <c r="V24" s="183"/>
      <c r="W24" s="183"/>
      <c r="X24" s="183"/>
      <c r="Y24" s="183"/>
      <c r="Z24" s="183"/>
      <c r="AA24" s="183"/>
      <c r="AB24" s="183"/>
    </row>
    <row r="25" spans="2:28">
      <c r="B25" s="182"/>
      <c r="C25" s="182"/>
      <c r="D25" s="182"/>
      <c r="E25" s="182"/>
      <c r="F25" s="182"/>
      <c r="G25" s="182"/>
      <c r="H25" s="182"/>
      <c r="I25" s="182"/>
      <c r="J25" s="182"/>
      <c r="K25" s="182"/>
      <c r="L25" s="182"/>
      <c r="M25" s="182"/>
      <c r="N25" s="182"/>
      <c r="P25" s="183"/>
      <c r="Q25" s="183"/>
      <c r="R25" s="183"/>
      <c r="S25" s="183"/>
      <c r="T25" s="183"/>
      <c r="U25" s="183"/>
      <c r="V25" s="183"/>
      <c r="W25" s="183"/>
      <c r="X25" s="183"/>
      <c r="Y25" s="183"/>
      <c r="Z25" s="183"/>
      <c r="AA25" s="183"/>
      <c r="AB25" s="183"/>
    </row>
    <row r="26" spans="2:28">
      <c r="B26" s="182"/>
      <c r="C26" s="182"/>
      <c r="D26" s="182"/>
      <c r="E26" s="182"/>
      <c r="F26" s="182"/>
      <c r="G26" s="182"/>
      <c r="H26" s="182"/>
      <c r="I26" s="182"/>
      <c r="J26" s="182"/>
      <c r="K26" s="182"/>
      <c r="L26" s="182"/>
      <c r="M26" s="182"/>
      <c r="N26" s="182"/>
      <c r="P26" s="183"/>
      <c r="Q26" s="183"/>
      <c r="R26" s="183"/>
      <c r="S26" s="183"/>
      <c r="T26" s="183"/>
      <c r="U26" s="183"/>
      <c r="V26" s="183"/>
      <c r="W26" s="183"/>
      <c r="X26" s="183"/>
      <c r="Y26" s="183"/>
      <c r="Z26" s="183"/>
      <c r="AA26" s="183"/>
      <c r="AB26" s="183"/>
    </row>
    <row r="27" spans="2:28">
      <c r="B27" s="182"/>
      <c r="C27" s="182"/>
      <c r="D27" s="182"/>
      <c r="E27" s="182"/>
      <c r="F27" s="182"/>
      <c r="G27" s="182"/>
      <c r="H27" s="182"/>
      <c r="I27" s="182"/>
      <c r="J27" s="182"/>
      <c r="K27" s="182"/>
      <c r="L27" s="182"/>
      <c r="M27" s="182"/>
      <c r="N27" s="182"/>
      <c r="P27" s="183"/>
      <c r="Q27" s="183"/>
      <c r="R27" s="183"/>
      <c r="S27" s="183"/>
      <c r="T27" s="183"/>
      <c r="U27" s="183"/>
      <c r="V27" s="183"/>
      <c r="W27" s="183"/>
      <c r="X27" s="183"/>
      <c r="Y27" s="183"/>
      <c r="Z27" s="183"/>
      <c r="AA27" s="183"/>
      <c r="AB27" s="183"/>
    </row>
    <row r="28" spans="2:28">
      <c r="B28" s="182"/>
      <c r="C28" s="182"/>
      <c r="D28" s="182"/>
      <c r="E28" s="182"/>
      <c r="F28" s="182"/>
      <c r="G28" s="182"/>
      <c r="H28" s="182"/>
      <c r="I28" s="182"/>
      <c r="J28" s="182"/>
      <c r="K28" s="182"/>
      <c r="L28" s="182"/>
      <c r="M28" s="182"/>
      <c r="N28" s="182"/>
      <c r="P28" s="183"/>
      <c r="Q28" s="183"/>
      <c r="R28" s="183"/>
      <c r="S28" s="183"/>
      <c r="T28" s="183"/>
      <c r="U28" s="183"/>
      <c r="V28" s="183"/>
      <c r="W28" s="183"/>
      <c r="X28" s="183"/>
      <c r="Y28" s="183"/>
      <c r="Z28" s="183"/>
      <c r="AA28" s="183"/>
      <c r="AB28" s="183"/>
    </row>
    <row r="29" spans="2:28">
      <c r="B29" s="182"/>
      <c r="C29" s="182"/>
      <c r="D29" s="182"/>
      <c r="E29" s="182"/>
      <c r="F29" s="182"/>
      <c r="G29" s="182"/>
      <c r="H29" s="182"/>
      <c r="I29" s="182"/>
      <c r="J29" s="182"/>
      <c r="K29" s="182"/>
      <c r="L29" s="182"/>
      <c r="M29" s="182"/>
      <c r="N29" s="182"/>
      <c r="P29" s="183"/>
      <c r="Q29" s="183"/>
      <c r="R29" s="183"/>
      <c r="S29" s="183"/>
      <c r="T29" s="183"/>
      <c r="U29" s="183"/>
      <c r="V29" s="183"/>
      <c r="W29" s="183"/>
      <c r="X29" s="183"/>
      <c r="Y29" s="183"/>
      <c r="Z29" s="183"/>
      <c r="AA29" s="183"/>
      <c r="AB29" s="183"/>
    </row>
    <row r="30" spans="2:28">
      <c r="B30" s="182"/>
      <c r="C30" s="182"/>
      <c r="D30" s="182"/>
      <c r="E30" s="182"/>
      <c r="F30" s="182"/>
      <c r="G30" s="182"/>
      <c r="H30" s="182"/>
      <c r="I30" s="182"/>
      <c r="J30" s="182"/>
      <c r="K30" s="182"/>
      <c r="L30" s="182"/>
      <c r="M30" s="182"/>
      <c r="N30" s="182"/>
      <c r="P30" s="183"/>
      <c r="Q30" s="183"/>
      <c r="R30" s="183"/>
      <c r="S30" s="183"/>
      <c r="T30" s="183"/>
      <c r="U30" s="183"/>
      <c r="V30" s="183"/>
      <c r="W30" s="183"/>
      <c r="X30" s="183"/>
      <c r="Y30" s="183"/>
      <c r="Z30" s="183"/>
      <c r="AA30" s="183"/>
      <c r="AB30" s="183"/>
    </row>
    <row r="31" spans="2:28">
      <c r="B31" s="182"/>
      <c r="C31" s="182"/>
      <c r="D31" s="182"/>
      <c r="E31" s="182"/>
      <c r="F31" s="182"/>
      <c r="G31" s="182"/>
      <c r="H31" s="182"/>
      <c r="I31" s="182"/>
      <c r="J31" s="182"/>
      <c r="K31" s="182"/>
      <c r="L31" s="182"/>
      <c r="M31" s="182"/>
      <c r="N31" s="182"/>
      <c r="P31" s="183"/>
      <c r="Q31" s="183"/>
      <c r="R31" s="183"/>
      <c r="S31" s="183"/>
      <c r="T31" s="183"/>
      <c r="U31" s="183"/>
      <c r="V31" s="183"/>
      <c r="W31" s="183"/>
      <c r="X31" s="183"/>
      <c r="Y31" s="183"/>
      <c r="Z31" s="183"/>
      <c r="AA31" s="183"/>
      <c r="AB31" s="183"/>
    </row>
    <row r="32" spans="2:28">
      <c r="B32" s="182"/>
      <c r="C32" s="182"/>
      <c r="D32" s="182"/>
      <c r="E32" s="182"/>
      <c r="F32" s="182"/>
      <c r="G32" s="182"/>
      <c r="H32" s="182"/>
      <c r="I32" s="182"/>
      <c r="J32" s="182"/>
      <c r="K32" s="182"/>
      <c r="L32" s="182"/>
      <c r="M32" s="182"/>
      <c r="N32" s="182"/>
      <c r="P32" s="183"/>
      <c r="Q32" s="183"/>
      <c r="R32" s="183"/>
      <c r="S32" s="183"/>
      <c r="T32" s="183"/>
      <c r="U32" s="183"/>
      <c r="V32" s="183"/>
      <c r="W32" s="183"/>
      <c r="X32" s="183"/>
      <c r="Y32" s="183"/>
      <c r="Z32" s="183"/>
      <c r="AA32" s="183"/>
      <c r="AB32" s="183"/>
    </row>
    <row r="33" spans="2:28">
      <c r="B33" s="182"/>
      <c r="C33" s="182"/>
      <c r="D33" s="182"/>
      <c r="E33" s="182"/>
      <c r="F33" s="182"/>
      <c r="G33" s="182"/>
      <c r="H33" s="182"/>
      <c r="I33" s="182"/>
      <c r="J33" s="182"/>
      <c r="K33" s="182"/>
      <c r="L33" s="182"/>
      <c r="M33" s="182"/>
      <c r="N33" s="182"/>
      <c r="P33" s="183"/>
      <c r="Q33" s="183"/>
      <c r="R33" s="183"/>
      <c r="S33" s="183"/>
      <c r="T33" s="183"/>
      <c r="U33" s="183"/>
      <c r="V33" s="183"/>
      <c r="W33" s="183"/>
      <c r="X33" s="183"/>
      <c r="Y33" s="183"/>
      <c r="Z33" s="183"/>
      <c r="AA33" s="183"/>
      <c r="AB33" s="183"/>
    </row>
    <row r="34" spans="2:28">
      <c r="B34" s="182"/>
      <c r="C34" s="182"/>
      <c r="D34" s="182"/>
      <c r="E34" s="182"/>
      <c r="F34" s="182"/>
      <c r="G34" s="182"/>
      <c r="H34" s="182"/>
      <c r="I34" s="182"/>
      <c r="J34" s="182"/>
      <c r="K34" s="182"/>
      <c r="L34" s="182"/>
      <c r="M34" s="182"/>
      <c r="N34" s="182"/>
      <c r="P34" s="183"/>
      <c r="Q34" s="183"/>
      <c r="R34" s="183"/>
      <c r="S34" s="183"/>
      <c r="T34" s="183"/>
      <c r="U34" s="183"/>
      <c r="V34" s="183"/>
      <c r="W34" s="183"/>
      <c r="X34" s="183"/>
      <c r="Y34" s="183"/>
      <c r="Z34" s="183"/>
      <c r="AA34" s="183"/>
      <c r="AB34" s="183"/>
    </row>
    <row r="35" spans="2:28">
      <c r="B35" s="182"/>
      <c r="C35" s="182"/>
      <c r="D35" s="182"/>
      <c r="E35" s="182"/>
      <c r="F35" s="182"/>
      <c r="G35" s="182"/>
      <c r="H35" s="182"/>
      <c r="I35" s="182"/>
      <c r="J35" s="182"/>
      <c r="K35" s="182"/>
      <c r="L35" s="182"/>
      <c r="M35" s="182"/>
      <c r="N35" s="182"/>
      <c r="P35" s="183"/>
      <c r="Q35" s="183"/>
      <c r="R35" s="183"/>
      <c r="S35" s="183"/>
      <c r="T35" s="183"/>
      <c r="U35" s="183"/>
      <c r="V35" s="183"/>
      <c r="W35" s="183"/>
      <c r="X35" s="183"/>
      <c r="Y35" s="183"/>
      <c r="Z35" s="183"/>
      <c r="AA35" s="183"/>
      <c r="AB35" s="183"/>
    </row>
    <row r="36" spans="2:28">
      <c r="B36" s="182"/>
      <c r="C36" s="182"/>
      <c r="D36" s="182"/>
      <c r="E36" s="182"/>
      <c r="F36" s="182"/>
      <c r="G36" s="182"/>
      <c r="H36" s="182"/>
      <c r="I36" s="182"/>
      <c r="J36" s="182"/>
      <c r="K36" s="182"/>
      <c r="L36" s="182"/>
      <c r="M36" s="182"/>
      <c r="N36" s="182"/>
      <c r="P36" s="183"/>
      <c r="Q36" s="183"/>
      <c r="R36" s="183"/>
      <c r="S36" s="183"/>
      <c r="T36" s="183"/>
      <c r="U36" s="183"/>
      <c r="V36" s="183"/>
      <c r="W36" s="183"/>
      <c r="X36" s="183"/>
      <c r="Y36" s="183"/>
      <c r="Z36" s="183"/>
      <c r="AA36" s="183"/>
      <c r="AB36" s="183"/>
    </row>
    <row r="37" spans="2:28">
      <c r="B37" s="182"/>
      <c r="C37" s="182"/>
      <c r="D37" s="182"/>
      <c r="E37" s="182"/>
      <c r="F37" s="182"/>
      <c r="G37" s="182"/>
      <c r="H37" s="182"/>
      <c r="I37" s="182"/>
      <c r="J37" s="182"/>
      <c r="K37" s="182"/>
      <c r="L37" s="182"/>
      <c r="M37" s="182"/>
      <c r="N37" s="182"/>
      <c r="P37" s="183"/>
      <c r="Q37" s="183"/>
      <c r="R37" s="183"/>
      <c r="S37" s="183"/>
      <c r="T37" s="183"/>
      <c r="U37" s="183"/>
      <c r="V37" s="183"/>
      <c r="W37" s="183"/>
      <c r="X37" s="183"/>
      <c r="Y37" s="183"/>
      <c r="Z37" s="183"/>
      <c r="AA37" s="183"/>
      <c r="AB37" s="183"/>
    </row>
    <row r="38" spans="2:28">
      <c r="B38" s="182"/>
      <c r="C38" s="182"/>
      <c r="D38" s="182"/>
      <c r="E38" s="182"/>
      <c r="F38" s="182"/>
      <c r="G38" s="182"/>
      <c r="H38" s="182"/>
      <c r="I38" s="182"/>
      <c r="J38" s="182"/>
      <c r="K38" s="182"/>
      <c r="L38" s="182"/>
      <c r="M38" s="182"/>
      <c r="N38" s="182"/>
      <c r="P38" s="183"/>
      <c r="Q38" s="183"/>
      <c r="R38" s="183"/>
      <c r="S38" s="183"/>
      <c r="T38" s="183"/>
      <c r="U38" s="183"/>
      <c r="V38" s="183"/>
      <c r="W38" s="183"/>
      <c r="X38" s="183"/>
      <c r="Y38" s="183"/>
      <c r="Z38" s="183"/>
      <c r="AA38" s="183"/>
      <c r="AB38" s="183"/>
    </row>
    <row r="39" spans="2:28">
      <c r="B39" s="182"/>
      <c r="C39" s="182"/>
      <c r="D39" s="182"/>
      <c r="E39" s="182"/>
      <c r="F39" s="182"/>
      <c r="G39" s="182"/>
      <c r="H39" s="182"/>
      <c r="I39" s="182"/>
      <c r="J39" s="182"/>
      <c r="K39" s="182"/>
      <c r="L39" s="182"/>
      <c r="M39" s="182"/>
      <c r="N39" s="182"/>
      <c r="P39" s="183"/>
      <c r="Q39" s="183"/>
      <c r="R39" s="183"/>
      <c r="S39" s="183"/>
      <c r="T39" s="183"/>
      <c r="U39" s="183"/>
      <c r="V39" s="183"/>
      <c r="W39" s="183"/>
      <c r="X39" s="183"/>
      <c r="Y39" s="183"/>
      <c r="Z39" s="183"/>
      <c r="AA39" s="183"/>
      <c r="AB39" s="183"/>
    </row>
    <row r="40" spans="2:28">
      <c r="B40" s="182"/>
      <c r="C40" s="182"/>
      <c r="D40" s="182"/>
      <c r="E40" s="182"/>
      <c r="F40" s="182"/>
      <c r="G40" s="182"/>
      <c r="H40" s="182"/>
      <c r="I40" s="182"/>
      <c r="J40" s="182"/>
      <c r="K40" s="182"/>
      <c r="L40" s="182"/>
      <c r="M40" s="182"/>
      <c r="N40" s="182"/>
      <c r="P40" s="183"/>
      <c r="Q40" s="183"/>
      <c r="R40" s="183"/>
      <c r="S40" s="183"/>
      <c r="T40" s="183"/>
      <c r="U40" s="183"/>
      <c r="V40" s="183"/>
      <c r="W40" s="183"/>
      <c r="X40" s="183"/>
      <c r="Y40" s="183"/>
      <c r="Z40" s="183"/>
      <c r="AA40" s="183"/>
      <c r="AB40" s="183"/>
    </row>
    <row r="41" spans="2:28">
      <c r="B41" s="182"/>
      <c r="C41" s="182"/>
      <c r="D41" s="182"/>
      <c r="E41" s="182"/>
      <c r="F41" s="182"/>
      <c r="G41" s="182"/>
      <c r="H41" s="182"/>
      <c r="I41" s="182"/>
      <c r="J41" s="182"/>
      <c r="K41" s="182"/>
      <c r="L41" s="182"/>
      <c r="M41" s="182"/>
      <c r="N41" s="182"/>
      <c r="P41" s="183"/>
      <c r="Q41" s="183"/>
      <c r="R41" s="183"/>
      <c r="S41" s="183"/>
      <c r="T41" s="183"/>
      <c r="U41" s="183"/>
      <c r="V41" s="183"/>
      <c r="W41" s="183"/>
      <c r="X41" s="183"/>
      <c r="Y41" s="183"/>
      <c r="Z41" s="183"/>
      <c r="AA41" s="183"/>
      <c r="AB41" s="183"/>
    </row>
    <row r="42" spans="2:28">
      <c r="B42" s="182"/>
      <c r="C42" s="182"/>
      <c r="D42" s="182"/>
      <c r="E42" s="182"/>
      <c r="F42" s="182"/>
      <c r="G42" s="182"/>
      <c r="H42" s="182"/>
      <c r="I42" s="182"/>
      <c r="J42" s="182"/>
      <c r="K42" s="182"/>
      <c r="L42" s="182"/>
      <c r="M42" s="182"/>
      <c r="N42" s="182"/>
      <c r="P42" s="183"/>
      <c r="Q42" s="183"/>
      <c r="R42" s="183"/>
      <c r="S42" s="183"/>
      <c r="T42" s="183"/>
      <c r="U42" s="183"/>
      <c r="V42" s="183"/>
      <c r="W42" s="183"/>
      <c r="X42" s="183"/>
      <c r="Y42" s="183"/>
      <c r="Z42" s="183"/>
      <c r="AA42" s="183"/>
      <c r="AB42" s="183"/>
    </row>
    <row r="43" spans="2:28">
      <c r="B43" s="182"/>
      <c r="C43" s="182"/>
      <c r="D43" s="182"/>
      <c r="E43" s="182"/>
      <c r="F43" s="182"/>
      <c r="G43" s="182"/>
      <c r="H43" s="182"/>
      <c r="I43" s="182"/>
      <c r="J43" s="182"/>
      <c r="K43" s="182"/>
      <c r="L43" s="182"/>
      <c r="M43" s="182"/>
      <c r="N43" s="182"/>
      <c r="P43" s="183"/>
      <c r="Q43" s="183"/>
      <c r="R43" s="183"/>
      <c r="S43" s="183"/>
      <c r="T43" s="183"/>
      <c r="U43" s="183"/>
      <c r="V43" s="183"/>
      <c r="W43" s="183"/>
      <c r="X43" s="183"/>
      <c r="Y43" s="183"/>
      <c r="Z43" s="183"/>
      <c r="AA43" s="183"/>
      <c r="AB43" s="183"/>
    </row>
    <row r="44" spans="2:28">
      <c r="B44" s="182"/>
      <c r="C44" s="182"/>
      <c r="D44" s="182"/>
      <c r="E44" s="182"/>
      <c r="F44" s="182"/>
      <c r="G44" s="182"/>
      <c r="H44" s="182"/>
      <c r="I44" s="182"/>
      <c r="J44" s="182"/>
      <c r="K44" s="182"/>
      <c r="L44" s="182"/>
      <c r="M44" s="182"/>
      <c r="N44" s="182"/>
      <c r="P44" s="183"/>
      <c r="Q44" s="183"/>
      <c r="R44" s="183"/>
      <c r="S44" s="183"/>
      <c r="T44" s="183"/>
      <c r="U44" s="183"/>
      <c r="V44" s="183"/>
      <c r="W44" s="183"/>
      <c r="X44" s="183"/>
      <c r="Y44" s="183"/>
      <c r="Z44" s="183"/>
      <c r="AA44" s="183"/>
      <c r="AB44" s="183"/>
    </row>
    <row r="45" spans="2:28">
      <c r="B45" s="182"/>
      <c r="C45" s="182"/>
      <c r="D45" s="182"/>
      <c r="E45" s="182"/>
      <c r="F45" s="182"/>
      <c r="G45" s="182"/>
      <c r="H45" s="182"/>
      <c r="I45" s="182"/>
      <c r="J45" s="182"/>
      <c r="K45" s="182"/>
      <c r="L45" s="182"/>
      <c r="M45" s="182"/>
      <c r="N45" s="182"/>
      <c r="P45" s="183"/>
      <c r="Q45" s="183"/>
      <c r="R45" s="183"/>
      <c r="S45" s="183"/>
      <c r="T45" s="183"/>
      <c r="U45" s="183"/>
      <c r="V45" s="183"/>
      <c r="W45" s="183"/>
      <c r="X45" s="183"/>
      <c r="Y45" s="183"/>
      <c r="Z45" s="183"/>
      <c r="AA45" s="183"/>
      <c r="AB45" s="183"/>
    </row>
    <row r="46" spans="2:28">
      <c r="B46" s="182"/>
      <c r="C46" s="182"/>
      <c r="D46" s="182"/>
      <c r="E46" s="182"/>
      <c r="F46" s="182"/>
      <c r="G46" s="182"/>
      <c r="H46" s="182"/>
      <c r="I46" s="182"/>
      <c r="J46" s="182"/>
      <c r="K46" s="182"/>
      <c r="L46" s="182"/>
      <c r="M46" s="182"/>
      <c r="N46" s="182"/>
      <c r="P46" s="183"/>
      <c r="Q46" s="183"/>
      <c r="R46" s="183"/>
      <c r="S46" s="183"/>
      <c r="T46" s="183"/>
      <c r="U46" s="183"/>
      <c r="V46" s="183"/>
      <c r="W46" s="183"/>
      <c r="X46" s="183"/>
      <c r="Y46" s="183"/>
      <c r="Z46" s="183"/>
      <c r="AA46" s="183"/>
      <c r="AB46" s="183"/>
    </row>
    <row r="47" spans="2:28">
      <c r="B47" s="182"/>
      <c r="C47" s="182"/>
      <c r="D47" s="182"/>
      <c r="E47" s="182"/>
      <c r="F47" s="182"/>
      <c r="G47" s="182"/>
      <c r="H47" s="182"/>
      <c r="I47" s="182"/>
      <c r="J47" s="182"/>
      <c r="K47" s="182"/>
      <c r="L47" s="182"/>
      <c r="M47" s="182"/>
      <c r="N47" s="182"/>
      <c r="P47" s="183"/>
      <c r="Q47" s="183"/>
      <c r="R47" s="183"/>
      <c r="S47" s="183"/>
      <c r="T47" s="183"/>
      <c r="U47" s="183"/>
      <c r="V47" s="183"/>
      <c r="W47" s="183"/>
      <c r="X47" s="183"/>
      <c r="Y47" s="183"/>
      <c r="Z47" s="183"/>
      <c r="AA47" s="183"/>
      <c r="AB47" s="183"/>
    </row>
    <row r="48" spans="2:28">
      <c r="B48" s="182"/>
      <c r="C48" s="182"/>
      <c r="D48" s="182"/>
      <c r="E48" s="182"/>
      <c r="F48" s="182"/>
      <c r="G48" s="182"/>
      <c r="H48" s="182"/>
      <c r="I48" s="182"/>
      <c r="J48" s="182"/>
      <c r="K48" s="182"/>
      <c r="L48" s="182"/>
      <c r="M48" s="182"/>
      <c r="N48" s="182"/>
      <c r="P48" s="183"/>
      <c r="Q48" s="183"/>
      <c r="R48" s="183"/>
      <c r="S48" s="183"/>
      <c r="T48" s="183"/>
      <c r="U48" s="183"/>
      <c r="V48" s="183"/>
      <c r="W48" s="183"/>
      <c r="X48" s="183"/>
      <c r="Y48" s="183"/>
      <c r="Z48" s="183"/>
      <c r="AA48" s="183"/>
      <c r="AB48" s="183"/>
    </row>
    <row r="49" spans="2:28">
      <c r="B49" s="182"/>
      <c r="C49" s="182"/>
      <c r="D49" s="182"/>
      <c r="E49" s="182"/>
      <c r="F49" s="182"/>
      <c r="G49" s="182"/>
      <c r="H49" s="182"/>
      <c r="I49" s="182"/>
      <c r="J49" s="182"/>
      <c r="K49" s="182"/>
      <c r="L49" s="182"/>
      <c r="M49" s="182"/>
      <c r="N49" s="182"/>
      <c r="P49" s="183"/>
      <c r="Q49" s="183"/>
      <c r="R49" s="183"/>
      <c r="S49" s="183"/>
      <c r="T49" s="183"/>
      <c r="U49" s="183"/>
      <c r="V49" s="183"/>
      <c r="W49" s="183"/>
      <c r="X49" s="183"/>
      <c r="Y49" s="183"/>
      <c r="Z49" s="183"/>
      <c r="AA49" s="183"/>
      <c r="AB49" s="183"/>
    </row>
    <row r="50" spans="2:28">
      <c r="B50" s="182"/>
      <c r="C50" s="182"/>
      <c r="D50" s="182"/>
      <c r="E50" s="182"/>
      <c r="F50" s="182"/>
      <c r="G50" s="182"/>
      <c r="H50" s="182"/>
      <c r="I50" s="182"/>
      <c r="J50" s="182"/>
      <c r="K50" s="182"/>
      <c r="L50" s="182"/>
      <c r="M50" s="182"/>
      <c r="N50" s="182"/>
      <c r="P50" s="183"/>
      <c r="Q50" s="183"/>
      <c r="R50" s="183"/>
      <c r="S50" s="183"/>
      <c r="T50" s="183"/>
      <c r="U50" s="183"/>
      <c r="V50" s="183"/>
      <c r="W50" s="183"/>
      <c r="X50" s="183"/>
      <c r="Y50" s="183"/>
      <c r="Z50" s="183"/>
      <c r="AA50" s="183"/>
      <c r="AB50" s="183"/>
    </row>
    <row r="51" spans="2:28">
      <c r="B51" s="182"/>
      <c r="C51" s="182"/>
      <c r="D51" s="182"/>
      <c r="E51" s="182"/>
      <c r="F51" s="182"/>
      <c r="G51" s="182"/>
      <c r="H51" s="182"/>
      <c r="I51" s="182"/>
      <c r="J51" s="182"/>
      <c r="K51" s="182"/>
      <c r="L51" s="182"/>
      <c r="M51" s="182"/>
      <c r="N51" s="182"/>
      <c r="P51" s="183"/>
      <c r="Q51" s="183"/>
      <c r="R51" s="183"/>
      <c r="S51" s="183"/>
      <c r="T51" s="183"/>
      <c r="U51" s="183"/>
      <c r="V51" s="183"/>
      <c r="W51" s="183"/>
      <c r="X51" s="183"/>
      <c r="Y51" s="183"/>
      <c r="Z51" s="183"/>
      <c r="AA51" s="183"/>
      <c r="AB51" s="183"/>
    </row>
    <row r="52" spans="2:28">
      <c r="B52" s="182"/>
      <c r="C52" s="182"/>
      <c r="D52" s="182"/>
      <c r="E52" s="182"/>
      <c r="F52" s="182"/>
      <c r="G52" s="182"/>
      <c r="H52" s="182"/>
      <c r="I52" s="182"/>
      <c r="J52" s="182"/>
      <c r="K52" s="182"/>
      <c r="L52" s="182"/>
      <c r="M52" s="182"/>
      <c r="N52" s="182"/>
      <c r="P52" s="183"/>
      <c r="Q52" s="183"/>
      <c r="R52" s="183"/>
      <c r="S52" s="183"/>
      <c r="T52" s="183"/>
      <c r="U52" s="183"/>
      <c r="V52" s="183"/>
      <c r="W52" s="183"/>
      <c r="X52" s="183"/>
      <c r="Y52" s="183"/>
      <c r="Z52" s="183"/>
      <c r="AA52" s="183"/>
      <c r="AB52" s="183"/>
    </row>
    <row r="53" spans="2:28">
      <c r="B53" s="182"/>
      <c r="C53" s="182"/>
      <c r="D53" s="182"/>
      <c r="E53" s="182"/>
      <c r="F53" s="182"/>
      <c r="G53" s="182"/>
      <c r="H53" s="182"/>
      <c r="I53" s="182"/>
      <c r="J53" s="182"/>
      <c r="K53" s="182"/>
      <c r="L53" s="182"/>
      <c r="M53" s="182"/>
      <c r="N53" s="182"/>
      <c r="P53" s="183"/>
      <c r="Q53" s="183"/>
      <c r="R53" s="183"/>
      <c r="S53" s="183"/>
      <c r="T53" s="183"/>
      <c r="U53" s="183"/>
      <c r="V53" s="183"/>
      <c r="W53" s="183"/>
      <c r="X53" s="183"/>
      <c r="Y53" s="183"/>
      <c r="Z53" s="183"/>
      <c r="AA53" s="183"/>
      <c r="AB53" s="183"/>
    </row>
    <row r="54" spans="2:28">
      <c r="B54" s="182"/>
      <c r="C54" s="182"/>
      <c r="D54" s="182"/>
      <c r="E54" s="182"/>
      <c r="F54" s="182"/>
      <c r="G54" s="182"/>
      <c r="H54" s="182"/>
      <c r="I54" s="182"/>
      <c r="J54" s="182"/>
      <c r="K54" s="182"/>
      <c r="L54" s="182"/>
      <c r="M54" s="182"/>
      <c r="N54" s="182"/>
      <c r="P54" s="183"/>
      <c r="Q54" s="183"/>
      <c r="R54" s="183"/>
      <c r="S54" s="183"/>
      <c r="T54" s="183"/>
      <c r="U54" s="183"/>
      <c r="V54" s="183"/>
      <c r="W54" s="183"/>
      <c r="X54" s="183"/>
      <c r="Y54" s="183"/>
      <c r="Z54" s="183"/>
      <c r="AA54" s="183"/>
      <c r="AB54" s="183"/>
    </row>
    <row r="55" spans="2:28">
      <c r="B55" s="182"/>
      <c r="C55" s="182"/>
      <c r="D55" s="182"/>
      <c r="E55" s="182"/>
      <c r="F55" s="182"/>
      <c r="G55" s="182"/>
      <c r="H55" s="182"/>
      <c r="I55" s="182"/>
      <c r="J55" s="182"/>
      <c r="K55" s="182"/>
      <c r="L55" s="182"/>
      <c r="M55" s="182"/>
      <c r="N55" s="182"/>
      <c r="P55" s="183"/>
      <c r="Q55" s="183"/>
      <c r="R55" s="183"/>
      <c r="S55" s="183"/>
      <c r="T55" s="183"/>
      <c r="U55" s="183"/>
      <c r="V55" s="183"/>
      <c r="W55" s="183"/>
      <c r="X55" s="183"/>
      <c r="Y55" s="183"/>
      <c r="Z55" s="183"/>
      <c r="AA55" s="183"/>
      <c r="AB55" s="183"/>
    </row>
    <row r="56" spans="2:28">
      <c r="B56" s="182"/>
      <c r="C56" s="182"/>
      <c r="D56" s="414"/>
      <c r="E56" s="415"/>
      <c r="F56" s="414"/>
      <c r="G56" s="182"/>
      <c r="H56" s="182"/>
      <c r="I56" s="182"/>
      <c r="J56" s="182"/>
      <c r="K56" s="182"/>
      <c r="L56" s="182"/>
      <c r="M56" s="182"/>
      <c r="N56" s="182"/>
      <c r="P56" s="183"/>
      <c r="Q56" s="183"/>
      <c r="R56" s="183"/>
      <c r="S56" s="183"/>
      <c r="T56" s="183"/>
      <c r="U56" s="416"/>
      <c r="V56" s="416"/>
      <c r="W56" s="416"/>
      <c r="X56" s="416"/>
      <c r="Y56" s="416"/>
      <c r="Z56" s="416"/>
      <c r="AA56" s="183"/>
      <c r="AB56" s="183"/>
    </row>
    <row r="57" spans="2:28">
      <c r="B57" s="182"/>
      <c r="C57" s="182"/>
      <c r="D57" s="414"/>
      <c r="E57" s="415"/>
      <c r="F57" s="414"/>
      <c r="G57" s="182"/>
      <c r="H57" s="182"/>
      <c r="I57" s="182"/>
      <c r="J57" s="182"/>
      <c r="K57" s="182"/>
      <c r="L57" s="182"/>
      <c r="M57" s="182"/>
      <c r="N57" s="182"/>
      <c r="P57" s="183"/>
      <c r="Q57" s="183"/>
      <c r="R57" s="183"/>
      <c r="S57" s="183"/>
      <c r="T57" s="183"/>
      <c r="U57" s="416"/>
      <c r="V57" s="416"/>
      <c r="W57" s="416"/>
      <c r="X57" s="416"/>
      <c r="Y57" s="416"/>
      <c r="Z57" s="416"/>
      <c r="AA57" s="183"/>
      <c r="AB57" s="183"/>
    </row>
    <row r="58" spans="2:28">
      <c r="B58" s="182"/>
      <c r="C58" s="182"/>
      <c r="D58" s="414"/>
      <c r="E58" s="415"/>
      <c r="F58" s="414"/>
      <c r="G58" s="182"/>
      <c r="H58" s="182"/>
      <c r="I58" s="182"/>
      <c r="J58" s="182"/>
      <c r="K58" s="182"/>
      <c r="L58" s="182"/>
      <c r="M58" s="182"/>
      <c r="N58" s="182"/>
      <c r="P58" s="183"/>
      <c r="Q58" s="183"/>
      <c r="R58" s="183"/>
      <c r="S58" s="183"/>
      <c r="T58" s="183"/>
      <c r="U58" s="416"/>
      <c r="V58" s="416"/>
      <c r="W58" s="416"/>
      <c r="X58" s="416"/>
      <c r="Y58" s="416"/>
      <c r="Z58" s="416"/>
      <c r="AA58" s="183"/>
      <c r="AB58" s="183"/>
    </row>
    <row r="59" spans="2:28">
      <c r="B59" s="182"/>
      <c r="C59" s="182"/>
      <c r="D59" s="414"/>
      <c r="E59" s="415"/>
      <c r="F59" s="414"/>
      <c r="G59" s="182"/>
      <c r="H59" s="182"/>
      <c r="I59" s="182"/>
      <c r="J59" s="182"/>
      <c r="K59" s="182"/>
      <c r="L59" s="182"/>
      <c r="M59" s="182"/>
      <c r="N59" s="182"/>
      <c r="P59" s="183"/>
      <c r="Q59" s="183"/>
      <c r="R59" s="183"/>
      <c r="S59" s="183"/>
      <c r="T59" s="183"/>
      <c r="U59" s="416"/>
      <c r="V59" s="416"/>
      <c r="W59" s="416"/>
      <c r="X59" s="416"/>
      <c r="Y59" s="416"/>
      <c r="Z59" s="416"/>
      <c r="AA59" s="183"/>
      <c r="AB59" s="183"/>
    </row>
    <row r="60" spans="2:28">
      <c r="B60" s="182"/>
      <c r="C60" s="182"/>
      <c r="D60" s="414"/>
      <c r="E60" s="415"/>
      <c r="F60" s="414"/>
      <c r="G60" s="182"/>
      <c r="H60" s="182"/>
      <c r="I60" s="182"/>
      <c r="J60" s="182"/>
      <c r="K60" s="182"/>
      <c r="L60" s="182"/>
      <c r="M60" s="182"/>
      <c r="N60" s="182"/>
      <c r="P60" s="183"/>
      <c r="Q60" s="183"/>
      <c r="R60" s="183"/>
      <c r="S60" s="183"/>
      <c r="T60" s="183"/>
      <c r="U60" s="416"/>
      <c r="V60" s="416"/>
      <c r="W60" s="416"/>
      <c r="X60" s="416"/>
      <c r="Y60" s="416"/>
      <c r="Z60" s="416"/>
      <c r="AA60" s="183"/>
      <c r="AB60" s="183"/>
    </row>
    <row r="61" spans="2:28">
      <c r="B61" s="182"/>
      <c r="C61" s="182"/>
      <c r="D61" s="414"/>
      <c r="E61" s="415"/>
      <c r="F61" s="414"/>
      <c r="G61" s="182"/>
      <c r="H61" s="182"/>
      <c r="I61" s="182"/>
      <c r="J61" s="182"/>
      <c r="K61" s="182"/>
      <c r="L61" s="182"/>
      <c r="M61" s="182"/>
      <c r="N61" s="182"/>
      <c r="P61" s="183"/>
      <c r="Q61" s="183"/>
      <c r="R61" s="183"/>
      <c r="S61" s="183"/>
      <c r="T61" s="183"/>
      <c r="U61" s="416"/>
      <c r="V61" s="416"/>
      <c r="W61" s="416"/>
      <c r="X61" s="416"/>
      <c r="Y61" s="416"/>
      <c r="Z61" s="416"/>
      <c r="AA61" s="183"/>
      <c r="AB61" s="183"/>
    </row>
    <row r="62" spans="2:28">
      <c r="B62" s="182"/>
      <c r="C62" s="182"/>
      <c r="D62" s="414"/>
      <c r="E62" s="415"/>
      <c r="F62" s="414"/>
      <c r="G62" s="182"/>
      <c r="H62" s="182"/>
      <c r="I62" s="182"/>
      <c r="J62" s="182"/>
      <c r="K62" s="182"/>
      <c r="L62" s="182"/>
      <c r="M62" s="182"/>
      <c r="N62" s="182"/>
      <c r="P62" s="183"/>
      <c r="Q62" s="183"/>
      <c r="R62" s="183"/>
      <c r="S62" s="183"/>
      <c r="T62" s="183"/>
      <c r="U62" s="416"/>
      <c r="V62" s="416"/>
      <c r="W62" s="416"/>
      <c r="X62" s="416"/>
      <c r="Y62" s="416"/>
      <c r="Z62" s="416"/>
      <c r="AA62" s="183"/>
      <c r="AB62" s="183"/>
    </row>
    <row r="63" spans="2:28">
      <c r="B63" s="182"/>
      <c r="C63" s="182"/>
      <c r="D63" s="414"/>
      <c r="E63" s="415"/>
      <c r="F63" s="414"/>
      <c r="G63" s="182"/>
      <c r="H63" s="182"/>
      <c r="I63" s="182"/>
      <c r="J63" s="182"/>
      <c r="K63" s="182"/>
      <c r="L63" s="182"/>
      <c r="M63" s="182"/>
      <c r="N63" s="182"/>
      <c r="P63" s="183"/>
      <c r="Q63" s="183"/>
      <c r="R63" s="183"/>
      <c r="S63" s="183"/>
      <c r="T63" s="183"/>
      <c r="U63" s="416"/>
      <c r="V63" s="416"/>
      <c r="W63" s="416"/>
      <c r="X63" s="416"/>
      <c r="Y63" s="416"/>
      <c r="Z63" s="416"/>
      <c r="AA63" s="183"/>
      <c r="AB63" s="183"/>
    </row>
    <row r="64" spans="2:28">
      <c r="B64" s="182"/>
      <c r="C64" s="182"/>
      <c r="D64" s="414"/>
      <c r="E64" s="415"/>
      <c r="F64" s="414"/>
      <c r="G64" s="182"/>
      <c r="H64" s="182"/>
      <c r="I64" s="182"/>
      <c r="J64" s="182"/>
      <c r="K64" s="182"/>
      <c r="L64" s="182"/>
      <c r="M64" s="182"/>
      <c r="N64" s="182"/>
      <c r="P64" s="183"/>
      <c r="Q64" s="183"/>
      <c r="R64" s="183"/>
      <c r="S64" s="183"/>
      <c r="T64" s="183"/>
      <c r="U64" s="416"/>
      <c r="V64" s="416"/>
      <c r="W64" s="416"/>
      <c r="X64" s="416"/>
      <c r="Y64" s="416"/>
      <c r="Z64" s="416"/>
      <c r="AA64" s="183"/>
      <c r="AB64" s="183"/>
    </row>
    <row r="65" spans="2:28">
      <c r="B65" s="182"/>
      <c r="C65" s="182"/>
      <c r="D65" s="414"/>
      <c r="E65" s="415"/>
      <c r="F65" s="414"/>
      <c r="G65" s="182"/>
      <c r="H65" s="182"/>
      <c r="I65" s="182"/>
      <c r="J65" s="182"/>
      <c r="K65" s="182"/>
      <c r="L65" s="182"/>
      <c r="M65" s="182"/>
      <c r="N65" s="182"/>
      <c r="P65" s="183"/>
      <c r="Q65" s="183"/>
      <c r="R65" s="183"/>
      <c r="S65" s="183"/>
      <c r="T65" s="183"/>
      <c r="U65" s="416"/>
      <c r="V65" s="416"/>
      <c r="W65" s="416"/>
      <c r="X65" s="416"/>
      <c r="Y65" s="416"/>
      <c r="Z65" s="416"/>
      <c r="AA65" s="183"/>
      <c r="AB65" s="183"/>
    </row>
    <row r="66" spans="2:28">
      <c r="B66" s="182"/>
      <c r="C66" s="182"/>
      <c r="D66" s="414"/>
      <c r="E66" s="415"/>
      <c r="F66" s="414"/>
      <c r="G66" s="182"/>
      <c r="H66" s="182"/>
      <c r="I66" s="182"/>
      <c r="J66" s="182"/>
      <c r="K66" s="182"/>
      <c r="L66" s="182"/>
      <c r="M66" s="182"/>
      <c r="N66" s="182"/>
      <c r="P66" s="183"/>
      <c r="Q66" s="183"/>
      <c r="R66" s="183"/>
      <c r="S66" s="183"/>
      <c r="T66" s="183"/>
      <c r="U66" s="416"/>
      <c r="V66" s="416"/>
      <c r="W66" s="416"/>
      <c r="X66" s="416"/>
      <c r="Y66" s="416"/>
      <c r="Z66" s="416"/>
      <c r="AA66" s="183"/>
      <c r="AB66" s="183"/>
    </row>
    <row r="67" spans="2:28">
      <c r="B67" s="182"/>
      <c r="C67" s="182"/>
      <c r="D67" s="414"/>
      <c r="E67" s="415"/>
      <c r="F67" s="414"/>
      <c r="G67" s="182"/>
      <c r="H67" s="182"/>
      <c r="I67" s="182"/>
      <c r="J67" s="182"/>
      <c r="K67" s="182"/>
      <c r="L67" s="182"/>
      <c r="M67" s="182"/>
      <c r="N67" s="182"/>
      <c r="P67" s="183"/>
      <c r="Q67" s="183"/>
      <c r="R67" s="183"/>
      <c r="S67" s="183"/>
      <c r="T67" s="183"/>
      <c r="U67" s="416"/>
      <c r="V67" s="416"/>
      <c r="W67" s="416"/>
      <c r="X67" s="416"/>
      <c r="Y67" s="416"/>
      <c r="Z67" s="416"/>
      <c r="AA67" s="183"/>
      <c r="AB67" s="183"/>
    </row>
    <row r="68" spans="2:28">
      <c r="B68" s="182"/>
      <c r="C68" s="182"/>
      <c r="D68" s="414"/>
      <c r="E68" s="415"/>
      <c r="F68" s="414"/>
      <c r="G68" s="182"/>
      <c r="H68" s="182"/>
      <c r="I68" s="182"/>
      <c r="J68" s="182"/>
      <c r="K68" s="182"/>
      <c r="L68" s="182"/>
      <c r="M68" s="182"/>
      <c r="N68" s="182"/>
      <c r="P68" s="183"/>
      <c r="Q68" s="183"/>
      <c r="R68" s="183"/>
      <c r="S68" s="183"/>
      <c r="T68" s="183"/>
      <c r="U68" s="416"/>
      <c r="V68" s="416"/>
      <c r="W68" s="416"/>
      <c r="X68" s="416"/>
      <c r="Y68" s="416"/>
      <c r="Z68" s="416"/>
      <c r="AA68" s="183"/>
      <c r="AB68" s="183"/>
    </row>
    <row r="69" spans="2:28">
      <c r="B69" s="182"/>
      <c r="C69" s="182"/>
      <c r="D69" s="414"/>
      <c r="E69" s="415"/>
      <c r="F69" s="414"/>
      <c r="G69" s="182"/>
      <c r="H69" s="182"/>
      <c r="I69" s="182"/>
      <c r="J69" s="182"/>
      <c r="K69" s="182"/>
      <c r="L69" s="182"/>
      <c r="M69" s="182"/>
      <c r="N69" s="182"/>
      <c r="P69" s="183"/>
      <c r="Q69" s="183"/>
      <c r="R69" s="183"/>
      <c r="S69" s="183"/>
      <c r="T69" s="417"/>
      <c r="U69" s="416"/>
      <c r="V69" s="416"/>
      <c r="W69" s="416"/>
      <c r="X69" s="416"/>
      <c r="Y69" s="416"/>
      <c r="Z69" s="416"/>
      <c r="AA69" s="183"/>
      <c r="AB69" s="183"/>
    </row>
    <row r="70" spans="2:28">
      <c r="B70" s="182"/>
      <c r="C70" s="182"/>
      <c r="D70" s="414"/>
      <c r="E70" s="415"/>
      <c r="F70" s="414"/>
      <c r="G70" s="182"/>
      <c r="H70" s="182"/>
      <c r="I70" s="182"/>
      <c r="J70" s="182"/>
      <c r="K70" s="182"/>
      <c r="L70" s="182"/>
      <c r="M70" s="182"/>
      <c r="N70" s="182"/>
      <c r="P70" s="183"/>
      <c r="Q70" s="183"/>
      <c r="R70" s="183"/>
      <c r="S70" s="183"/>
      <c r="T70" s="417"/>
      <c r="U70" s="416"/>
      <c r="V70" s="416"/>
      <c r="W70" s="416"/>
      <c r="X70" s="416"/>
      <c r="Y70" s="416"/>
      <c r="Z70" s="416"/>
      <c r="AA70" s="183"/>
      <c r="AB70" s="183"/>
    </row>
    <row r="71" spans="2:28">
      <c r="B71" s="182"/>
      <c r="C71" s="182"/>
      <c r="D71" s="414"/>
      <c r="E71" s="415"/>
      <c r="F71" s="414"/>
      <c r="G71" s="182"/>
      <c r="H71" s="182"/>
      <c r="I71" s="182"/>
      <c r="J71" s="182"/>
      <c r="K71" s="182"/>
      <c r="L71" s="182"/>
      <c r="M71" s="182"/>
      <c r="N71" s="182"/>
      <c r="P71" s="183"/>
      <c r="Q71" s="183"/>
      <c r="R71" s="183"/>
      <c r="S71" s="183"/>
      <c r="T71" s="417"/>
      <c r="U71" s="416"/>
      <c r="V71" s="416"/>
      <c r="W71" s="416"/>
      <c r="X71" s="416"/>
      <c r="Y71" s="416"/>
      <c r="Z71" s="416"/>
      <c r="AA71" s="183"/>
      <c r="AB71" s="183"/>
    </row>
    <row r="72" spans="2:28">
      <c r="B72" s="182"/>
      <c r="C72" s="182"/>
      <c r="D72" s="414"/>
      <c r="E72" s="415"/>
      <c r="F72" s="414"/>
      <c r="G72" s="182"/>
      <c r="H72" s="182"/>
      <c r="I72" s="182"/>
      <c r="J72" s="182"/>
      <c r="K72" s="182"/>
      <c r="L72" s="182"/>
      <c r="M72" s="182"/>
      <c r="N72" s="182"/>
      <c r="P72" s="183"/>
      <c r="Q72" s="183"/>
      <c r="R72" s="183"/>
      <c r="S72" s="183"/>
      <c r="T72" s="417"/>
      <c r="U72" s="416"/>
      <c r="V72" s="416"/>
      <c r="W72" s="416"/>
      <c r="X72" s="416"/>
      <c r="Y72" s="416"/>
      <c r="Z72" s="416"/>
      <c r="AA72" s="183"/>
      <c r="AB72" s="183"/>
    </row>
    <row r="73" spans="2:28">
      <c r="B73" s="182"/>
      <c r="C73" s="182"/>
      <c r="D73" s="414"/>
      <c r="E73" s="415"/>
      <c r="F73" s="414"/>
      <c r="G73" s="182"/>
      <c r="H73" s="182"/>
      <c r="I73" s="182"/>
      <c r="J73" s="182"/>
      <c r="K73" s="182"/>
      <c r="L73" s="182"/>
      <c r="M73" s="182"/>
      <c r="N73" s="182"/>
      <c r="P73" s="183"/>
      <c r="Q73" s="183"/>
      <c r="R73" s="183"/>
      <c r="S73" s="183"/>
      <c r="T73" s="417"/>
      <c r="U73" s="416"/>
      <c r="V73" s="416"/>
      <c r="W73" s="416"/>
      <c r="X73" s="416"/>
      <c r="Y73" s="416"/>
      <c r="Z73" s="416"/>
      <c r="AA73" s="183"/>
      <c r="AB73" s="183"/>
    </row>
    <row r="74" spans="2:28" ht="15.75">
      <c r="B74" s="182"/>
      <c r="C74" s="961" t="s">
        <v>432</v>
      </c>
      <c r="D74" s="961"/>
      <c r="E74" s="421"/>
      <c r="F74" s="961" t="s">
        <v>433</v>
      </c>
      <c r="G74" s="961"/>
      <c r="H74" s="421"/>
      <c r="I74" s="961" t="s">
        <v>31</v>
      </c>
      <c r="J74" s="961"/>
      <c r="K74" s="421"/>
      <c r="L74" s="961" t="s">
        <v>434</v>
      </c>
      <c r="M74" s="961"/>
      <c r="N74" s="182"/>
      <c r="P74" s="183"/>
      <c r="Q74" s="962" t="s">
        <v>432</v>
      </c>
      <c r="R74" s="962"/>
      <c r="S74" s="418"/>
      <c r="T74" s="962" t="s">
        <v>433</v>
      </c>
      <c r="U74" s="962"/>
      <c r="V74" s="418"/>
      <c r="W74" s="962" t="s">
        <v>31</v>
      </c>
      <c r="X74" s="962"/>
      <c r="Y74" s="418"/>
      <c r="Z74" s="962" t="s">
        <v>434</v>
      </c>
      <c r="AA74" s="962"/>
      <c r="AB74" s="183"/>
    </row>
    <row r="75" spans="2:28">
      <c r="B75" s="182"/>
      <c r="C75" s="422" t="s">
        <v>423</v>
      </c>
      <c r="D75" s="422" t="s">
        <v>6</v>
      </c>
      <c r="E75" s="423"/>
      <c r="F75" s="422" t="s">
        <v>423</v>
      </c>
      <c r="G75" s="422" t="s">
        <v>6</v>
      </c>
      <c r="H75" s="423"/>
      <c r="I75" s="422" t="s">
        <v>423</v>
      </c>
      <c r="J75" s="422" t="s">
        <v>6</v>
      </c>
      <c r="K75" s="423"/>
      <c r="L75" s="422" t="s">
        <v>423</v>
      </c>
      <c r="M75" s="422" t="s">
        <v>6</v>
      </c>
      <c r="N75" s="182"/>
      <c r="P75" s="183"/>
      <c r="Q75" s="419" t="s">
        <v>423</v>
      </c>
      <c r="R75" s="419" t="s">
        <v>6</v>
      </c>
      <c r="S75" s="420"/>
      <c r="T75" s="419" t="s">
        <v>423</v>
      </c>
      <c r="U75" s="419" t="s">
        <v>6</v>
      </c>
      <c r="V75" s="420"/>
      <c r="W75" s="419" t="s">
        <v>423</v>
      </c>
      <c r="X75" s="419" t="s">
        <v>6</v>
      </c>
      <c r="Y75" s="420"/>
      <c r="Z75" s="419" t="s">
        <v>423</v>
      </c>
      <c r="AA75" s="419" t="s">
        <v>6</v>
      </c>
      <c r="AB75" s="183"/>
    </row>
    <row r="76" spans="2:28">
      <c r="B76" s="182"/>
      <c r="C76" s="435">
        <v>0</v>
      </c>
      <c r="D76" s="435">
        <f>IF(C76&lt;='B1 '!$G$25,'B1 '!$H$25,IF(AND(C76&lt;='B1 '!$G$24,C76&gt;'B1 '!$G$25),0+(('B1 '!$H$25-'B1 '!$H$24)/('B1 '!$G$25-'B1 '!$G$24))*(C76-'B1 '!$G$24),0))</f>
        <v>50</v>
      </c>
      <c r="E76" s="611"/>
      <c r="F76" s="435">
        <v>0</v>
      </c>
      <c r="G76" s="435">
        <f>IF(F76&lt;='B1 '!$G$27,'B1 '!$H$27,IF(AND(F76&lt;='B1 '!$G$26,F76&gt;'B1 '!$G$27),0+(('B1 '!$H$27-'B1 '!$H$26)/('B1 '!$G$27-'B1 '!$G$26))*(F76-'B1 '!$G$26),0))</f>
        <v>45</v>
      </c>
      <c r="H76" s="611"/>
      <c r="I76" s="435">
        <v>0</v>
      </c>
      <c r="J76" s="435">
        <f>IF(I76&lt;='B1 '!$G$29,'B1 '!$H$29,IF(AND(I76&lt;='B1 '!$G$28,I76&gt;'B1 '!$G$29),0+(('B1 '!$H$29-'B1 '!$H$28)/('B1 '!$G$29-'B1 '!$G$28))*(I76-'B1 '!$G$28),0))</f>
        <v>120</v>
      </c>
      <c r="K76" s="611"/>
      <c r="L76" s="435">
        <v>0</v>
      </c>
      <c r="M76" s="435">
        <f>IF(L76&lt;='B1 '!$G$31,'B1 '!$H$31,IF(AND(L76&lt;='B1 '!$G$30,L76&gt;'B1 '!$G$31),0+(('B1 '!$H$31-'B1 '!$H$30)/('B1 '!$G$31-'B1 '!$G$30))*(L76-'B1 '!$G$30),0))</f>
        <v>135</v>
      </c>
      <c r="N76" s="415"/>
      <c r="O76" s="434"/>
      <c r="P76" s="612"/>
      <c r="Q76" s="436">
        <v>0</v>
      </c>
      <c r="R76" s="436">
        <f>IF(Q76&lt;='B1 '!$L$25,'B1 '!$M$25,IF(AND(Q76&lt;='B1 '!$L$24,Q76&gt;'B1 '!$L$25),0+(('B1 '!$M$25-'B1 '!$M$24)/('B1 '!$L$25-'B1 '!$L$24))*(Q76-'B1 '!$L$24),0))</f>
        <v>50</v>
      </c>
      <c r="S76" s="613"/>
      <c r="T76" s="436">
        <v>0</v>
      </c>
      <c r="U76" s="436">
        <f>IF(T76&lt;='B1 '!$L$27,'B1 '!$M$27,IF(AND(T76&lt;='B1 '!$L$26,T76&gt;'B1 '!$L$27),0+(('B1 '!$M$27-'B1 '!$M$26)/('B1 '!$L$27-'B1 '!$L$26))*(T76-'B1 '!$L$26),0))</f>
        <v>45</v>
      </c>
      <c r="V76" s="613"/>
      <c r="W76" s="436">
        <v>0</v>
      </c>
      <c r="X76" s="436">
        <f>IF(W76&lt;='B1 '!$L$29,'B1 '!$M$29,IF(AND(W76&lt;='B1 '!$L$28,W76&gt;'B1 '!$L$29),0+(('B1 '!$M$29-'B1 '!$M$28)/('B1 '!$L$29-'B1 '!$L$28))*(W76-'B1 '!$L$28),0))</f>
        <v>120</v>
      </c>
      <c r="Y76" s="613"/>
      <c r="Z76" s="436">
        <v>0</v>
      </c>
      <c r="AA76" s="436">
        <f>IF(Z76&lt;='B1 '!$L$31,'B1 '!$M$31,IF(AND(Z76&lt;='B1 '!$L$30,Z76&gt;'B1 '!$L$31),0+(('B1 '!$M$31-'B1 '!$M$30)/('B1 '!$L$31-'B1 '!$L$30))*(Z76-'B1 '!$L$30),0))</f>
        <v>135</v>
      </c>
      <c r="AB76" s="183"/>
    </row>
    <row r="77" spans="2:28">
      <c r="B77" s="182"/>
      <c r="C77" s="435">
        <v>2.5</v>
      </c>
      <c r="D77" s="435">
        <f>IF(C77&lt;='B1 '!$G$25,'B1 '!$H$25,IF(AND(C77&lt;='B1 '!$G$24,C77&gt;'B1 '!$G$25),0+(('B1 '!$H$25-'B1 '!$H$24)/('B1 '!$G$25-'B1 '!$G$24))*(C77-'B1 '!$G$24),0))</f>
        <v>50</v>
      </c>
      <c r="E77" s="611"/>
      <c r="F77" s="435">
        <v>0.5</v>
      </c>
      <c r="G77" s="435">
        <f>IF(F77&lt;='B1 '!$G$27,'B1 '!$H$27,IF(AND(F77&lt;='B1 '!$G$26,F77&gt;'B1 '!$G$27),0+(('B1 '!$H$27-'B1 '!$H$26)/('B1 '!$G$27-'B1 '!$G$26))*(F77-'B1 '!$G$26),0))</f>
        <v>40.5</v>
      </c>
      <c r="H77" s="611"/>
      <c r="I77" s="435">
        <v>5</v>
      </c>
      <c r="J77" s="435">
        <f>IF(I77&lt;='B1 '!$G$29,'B1 '!$H$29,IF(AND(I77&lt;='B1 '!$G$28,I77&gt;'B1 '!$G$29),0+(('B1 '!$H$29-'B1 '!$H$28)/('B1 '!$G$29-'B1 '!$G$28))*(I77-'B1 '!$G$28),0))</f>
        <v>120</v>
      </c>
      <c r="K77" s="611"/>
      <c r="L77" s="435">
        <v>0.5</v>
      </c>
      <c r="M77" s="435">
        <f>IF(L77&lt;='B1 '!$G$31,'B1 '!$H$31,IF(AND(L77&lt;='B1 '!$G$30,L77&gt;'B1 '!$G$31),0+(('B1 '!$H$31-'B1 '!$H$30)/('B1 '!$G$31-'B1 '!$G$30))*(L77-'B1 '!$G$30),0))</f>
        <v>135</v>
      </c>
      <c r="N77" s="415"/>
      <c r="O77" s="434"/>
      <c r="P77" s="612"/>
      <c r="Q77" s="436">
        <v>1</v>
      </c>
      <c r="R77" s="436">
        <f>IF(Q77&lt;='B1 '!$L$25,'B1 '!$M$25,IF(AND(Q77&lt;='B1 '!$L$24,Q77&gt;'B1 '!$L$25),0+(('B1 '!$M$25-'B1 '!$M$24)/('B1 '!$L$25-'B1 '!$L$24))*(Q77-'B1 '!$L$24),0))</f>
        <v>50</v>
      </c>
      <c r="S77" s="613"/>
      <c r="T77" s="436">
        <v>0.5</v>
      </c>
      <c r="U77" s="436">
        <f>IF(T77&lt;='B1 '!$L$27,'B1 '!$M$27,IF(AND(T77&lt;='B1 '!$L$26,T77&gt;'B1 '!$L$27),0+(('B1 '!$M$27-'B1 '!$M$26)/('B1 '!$L$27-'B1 '!$L$26))*(T77-'B1 '!$L$26),0))</f>
        <v>45</v>
      </c>
      <c r="V77" s="613"/>
      <c r="W77" s="436">
        <v>5</v>
      </c>
      <c r="X77" s="436">
        <f>IF(W77&lt;='B1 '!$L$29,'B1 '!$M$29,IF(AND(W77&lt;='B1 '!$L$28,W77&gt;'B1 '!$L$29),0+(('B1 '!$M$29-'B1 '!$M$28)/('B1 '!$L$29-'B1 '!$L$28))*(W77-'B1 '!$L$28),0))</f>
        <v>120</v>
      </c>
      <c r="Y77" s="613"/>
      <c r="Z77" s="436">
        <v>0.5</v>
      </c>
      <c r="AA77" s="436">
        <f>IF(Z77&lt;='B1 '!$L$31,'B1 '!$M$31,IF(AND(Z77&lt;='B1 '!$L$30,Z77&gt;'B1 '!$L$31),0+(('B1 '!$M$31-'B1 '!$M$30)/('B1 '!$L$31-'B1 '!$L$30))*(Z77-'B1 '!$L$30),0))</f>
        <v>135</v>
      </c>
      <c r="AB77" s="183"/>
    </row>
    <row r="78" spans="2:28">
      <c r="B78" s="182"/>
      <c r="C78" s="435">
        <v>5</v>
      </c>
      <c r="D78" s="435">
        <f>IF(C78&lt;='B1 '!$G$25,'B1 '!$H$25,IF(AND(C78&lt;='B1 '!$G$24,C78&gt;'B1 '!$G$25),0+(('B1 '!$H$25-'B1 '!$H$24)/('B1 '!$G$25-'B1 '!$G$24))*(C78-'B1 '!$G$24),0))</f>
        <v>50</v>
      </c>
      <c r="E78" s="611"/>
      <c r="F78" s="435">
        <v>1</v>
      </c>
      <c r="G78" s="435">
        <f>IF(F78&lt;='B1 '!$G$27,'B1 '!$H$27,IF(AND(F78&lt;='B1 '!$G$26,F78&gt;'B1 '!$G$27),0+(('B1 '!$H$27-'B1 '!$H$26)/('B1 '!$G$27-'B1 '!$G$26))*(F78-'B1 '!$G$26),0))</f>
        <v>36</v>
      </c>
      <c r="H78" s="611"/>
      <c r="I78" s="435">
        <v>10</v>
      </c>
      <c r="J78" s="435">
        <f>IF(I78&lt;='B1 '!$G$29,'B1 '!$H$29,IF(AND(I78&lt;='B1 '!$G$28,I78&gt;'B1 '!$G$29),0+(('B1 '!$H$29-'B1 '!$H$28)/('B1 '!$G$29-'B1 '!$G$28))*(I78-'B1 '!$G$28),0))</f>
        <v>120</v>
      </c>
      <c r="K78" s="611"/>
      <c r="L78" s="435">
        <v>1</v>
      </c>
      <c r="M78" s="435">
        <f>IF(L78&lt;='B1 '!$G$31,'B1 '!$H$31,IF(AND(L78&lt;='B1 '!$G$30,L78&gt;'B1 '!$G$31),0+(('B1 '!$H$31-'B1 '!$H$30)/('B1 '!$G$31-'B1 '!$G$30))*(L78-'B1 '!$G$30),0))</f>
        <v>135</v>
      </c>
      <c r="N78" s="415"/>
      <c r="O78" s="434"/>
      <c r="P78" s="612"/>
      <c r="Q78" s="436">
        <v>2</v>
      </c>
      <c r="R78" s="436">
        <f>IF(Q78&lt;='B1 '!$L$25,'B1 '!$M$25,IF(AND(Q78&lt;='B1 '!$L$24,Q78&gt;'B1 '!$L$25),0+(('B1 '!$M$25-'B1 '!$M$24)/('B1 '!$L$25-'B1 '!$L$24))*(Q78-'B1 '!$L$24),0))</f>
        <v>50</v>
      </c>
      <c r="S78" s="613"/>
      <c r="T78" s="436">
        <v>1</v>
      </c>
      <c r="U78" s="436">
        <f>IF(T78&lt;='B1 '!$L$27,'B1 '!$M$27,IF(AND(T78&lt;='B1 '!$L$26,T78&gt;'B1 '!$L$27),0+(('B1 '!$M$27-'B1 '!$M$26)/('B1 '!$L$27-'B1 '!$L$26))*(T78-'B1 '!$L$26),0))</f>
        <v>45</v>
      </c>
      <c r="V78" s="613"/>
      <c r="W78" s="436">
        <v>10</v>
      </c>
      <c r="X78" s="436">
        <f>IF(W78&lt;='B1 '!$L$29,'B1 '!$M$29,IF(AND(W78&lt;='B1 '!$L$28,W78&gt;'B1 '!$L$29),0+(('B1 '!$M$29-'B1 '!$M$28)/('B1 '!$L$29-'B1 '!$L$28))*(W78-'B1 '!$L$28),0))</f>
        <v>120</v>
      </c>
      <c r="Y78" s="613"/>
      <c r="Z78" s="436">
        <v>1</v>
      </c>
      <c r="AA78" s="436">
        <f>IF(Z78&lt;='B1 '!$L$31,'B1 '!$M$31,IF(AND(Z78&lt;='B1 '!$L$30,Z78&gt;'B1 '!$L$31),0+(('B1 '!$M$31-'B1 '!$M$30)/('B1 '!$L$31-'B1 '!$L$30))*(Z78-'B1 '!$L$30),0))</f>
        <v>135</v>
      </c>
      <c r="AB78" s="183"/>
    </row>
    <row r="79" spans="2:28">
      <c r="B79" s="182"/>
      <c r="C79" s="435">
        <v>7.5</v>
      </c>
      <c r="D79" s="435">
        <f>IF(C79&lt;='B1 '!$G$25,'B1 '!$H$25,IF(AND(C79&lt;='B1 '!$G$24,C79&gt;'B1 '!$G$25),0+(('B1 '!$H$25-'B1 '!$H$24)/('B1 '!$G$25-'B1 '!$G$24))*(C79-'B1 '!$G$24),0))</f>
        <v>50</v>
      </c>
      <c r="E79" s="611"/>
      <c r="F79" s="435">
        <v>1.5</v>
      </c>
      <c r="G79" s="435">
        <f>IF(F79&lt;='B1 '!$G$27,'B1 '!$H$27,IF(AND(F79&lt;='B1 '!$G$26,F79&gt;'B1 '!$G$27),0+(('B1 '!$H$27-'B1 '!$H$26)/('B1 '!$G$27-'B1 '!$G$26))*(F79-'B1 '!$G$26),0))</f>
        <v>31.5</v>
      </c>
      <c r="H79" s="611"/>
      <c r="I79" s="435">
        <v>15</v>
      </c>
      <c r="J79" s="435">
        <f>IF(I79&lt;='B1 '!$G$29,'B1 '!$H$29,IF(AND(I79&lt;='B1 '!$G$28,I79&gt;'B1 '!$G$29),0+(('B1 '!$H$29-'B1 '!$H$28)/('B1 '!$G$29-'B1 '!$G$28))*(I79-'B1 '!$G$28),0))</f>
        <v>120</v>
      </c>
      <c r="K79" s="611"/>
      <c r="L79" s="435">
        <v>1.5</v>
      </c>
      <c r="M79" s="435">
        <f>IF(L79&lt;='B1 '!$G$31,'B1 '!$H$31,IF(AND(L79&lt;='B1 '!$G$30,L79&gt;'B1 '!$G$31),0+(('B1 '!$H$31-'B1 '!$H$30)/('B1 '!$G$31-'B1 '!$G$30))*(L79-'B1 '!$G$30),0))</f>
        <v>135</v>
      </c>
      <c r="N79" s="415"/>
      <c r="O79" s="434"/>
      <c r="P79" s="612"/>
      <c r="Q79" s="436">
        <v>3</v>
      </c>
      <c r="R79" s="436">
        <f>IF(Q79&lt;='B1 '!$L$25,'B1 '!$M$25,IF(AND(Q79&lt;='B1 '!$L$24,Q79&gt;'B1 '!$L$25),0+(('B1 '!$M$25-'B1 '!$M$24)/('B1 '!$L$25-'B1 '!$L$24))*(Q79-'B1 '!$L$24),0))</f>
        <v>50</v>
      </c>
      <c r="S79" s="613"/>
      <c r="T79" s="436">
        <v>1.5</v>
      </c>
      <c r="U79" s="436">
        <f>IF(T79&lt;='B1 '!$L$27,'B1 '!$M$27,IF(AND(T79&lt;='B1 '!$L$26,T79&gt;'B1 '!$L$27),0+(('B1 '!$M$27-'B1 '!$M$26)/('B1 '!$L$27-'B1 '!$L$26))*(T79-'B1 '!$L$26),0))</f>
        <v>45</v>
      </c>
      <c r="V79" s="613"/>
      <c r="W79" s="436">
        <v>15</v>
      </c>
      <c r="X79" s="436">
        <f>IF(W79&lt;='B1 '!$L$29,'B1 '!$M$29,IF(AND(W79&lt;='B1 '!$L$28,W79&gt;'B1 '!$L$29),0+(('B1 '!$M$29-'B1 '!$M$28)/('B1 '!$L$29-'B1 '!$L$28))*(W79-'B1 '!$L$28),0))</f>
        <v>120</v>
      </c>
      <c r="Y79" s="613"/>
      <c r="Z79" s="436">
        <v>1.5</v>
      </c>
      <c r="AA79" s="436">
        <f>IF(Z79&lt;='B1 '!$L$31,'B1 '!$M$31,IF(AND(Z79&lt;='B1 '!$L$30,Z79&gt;'B1 '!$L$31),0+(('B1 '!$M$31-'B1 '!$M$30)/('B1 '!$L$31-'B1 '!$L$30))*(Z79-'B1 '!$L$30),0))</f>
        <v>135</v>
      </c>
      <c r="AB79" s="183"/>
    </row>
    <row r="80" spans="2:28">
      <c r="B80" s="182"/>
      <c r="C80" s="435">
        <v>10</v>
      </c>
      <c r="D80" s="435">
        <f>IF(C80&lt;='B1 '!$G$25,'B1 '!$H$25,IF(AND(C80&lt;='B1 '!$G$24,C80&gt;'B1 '!$G$25),0+(('B1 '!$H$25-'B1 '!$H$24)/('B1 '!$G$25-'B1 '!$G$24))*(C80-'B1 '!$G$24),0))</f>
        <v>50</v>
      </c>
      <c r="E80" s="611"/>
      <c r="F80" s="435">
        <v>2</v>
      </c>
      <c r="G80" s="435">
        <f>IF(F80&lt;='B1 '!$G$27,'B1 '!$H$27,IF(AND(F80&lt;='B1 '!$G$26,F80&gt;'B1 '!$G$27),0+(('B1 '!$H$27-'B1 '!$H$26)/('B1 '!$G$27-'B1 '!$G$26))*(F80-'B1 '!$G$26),0))</f>
        <v>27</v>
      </c>
      <c r="H80" s="611"/>
      <c r="I80" s="435">
        <v>20</v>
      </c>
      <c r="J80" s="435">
        <f>IF(I80&lt;='B1 '!$G$29,'B1 '!$H$29,IF(AND(I80&lt;='B1 '!$G$28,I80&gt;'B1 '!$G$29),0+(('B1 '!$H$29-'B1 '!$H$28)/('B1 '!$G$29-'B1 '!$G$28))*(I80-'B1 '!$G$28),0))</f>
        <v>120</v>
      </c>
      <c r="K80" s="611"/>
      <c r="L80" s="435">
        <v>2</v>
      </c>
      <c r="M80" s="435">
        <f>IF(L80&lt;='B1 '!$G$31,'B1 '!$H$31,IF(AND(L80&lt;='B1 '!$G$30,L80&gt;'B1 '!$G$31),0+(('B1 '!$H$31-'B1 '!$H$30)/('B1 '!$G$31-'B1 '!$G$30))*(L80-'B1 '!$G$30),0))</f>
        <v>135</v>
      </c>
      <c r="N80" s="415"/>
      <c r="O80" s="434"/>
      <c r="P80" s="612"/>
      <c r="Q80" s="436">
        <v>4</v>
      </c>
      <c r="R80" s="436">
        <f>IF(Q80&lt;='B1 '!$L$25,'B1 '!$M$25,IF(AND(Q80&lt;='B1 '!$L$24,Q80&gt;'B1 '!$L$25),0+(('B1 '!$M$25-'B1 '!$M$24)/('B1 '!$L$25-'B1 '!$L$24))*(Q80-'B1 '!$L$24),0))</f>
        <v>50</v>
      </c>
      <c r="S80" s="613"/>
      <c r="T80" s="436">
        <v>2</v>
      </c>
      <c r="U80" s="436">
        <f>IF(T80&lt;='B1 '!$L$27,'B1 '!$M$27,IF(AND(T80&lt;='B1 '!$L$26,T80&gt;'B1 '!$L$27),0+(('B1 '!$M$27-'B1 '!$M$26)/('B1 '!$L$27-'B1 '!$L$26))*(T80-'B1 '!$L$26),0))</f>
        <v>45</v>
      </c>
      <c r="V80" s="613"/>
      <c r="W80" s="436">
        <v>20</v>
      </c>
      <c r="X80" s="436">
        <f>IF(W80&lt;='B1 '!$L$29,'B1 '!$M$29,IF(AND(W80&lt;='B1 '!$L$28,W80&gt;'B1 '!$L$29),0+(('B1 '!$M$29-'B1 '!$M$28)/('B1 '!$L$29-'B1 '!$L$28))*(W80-'B1 '!$L$28),0))</f>
        <v>120</v>
      </c>
      <c r="Y80" s="613"/>
      <c r="Z80" s="436">
        <v>2</v>
      </c>
      <c r="AA80" s="436">
        <f>IF(Z80&lt;='B1 '!$L$31,'B1 '!$M$31,IF(AND(Z80&lt;='B1 '!$L$30,Z80&gt;'B1 '!$L$31),0+(('B1 '!$M$31-'B1 '!$M$30)/('B1 '!$L$31-'B1 '!$L$30))*(Z80-'B1 '!$L$30),0))</f>
        <v>135</v>
      </c>
      <c r="AB80" s="183"/>
    </row>
    <row r="81" spans="2:28">
      <c r="B81" s="182"/>
      <c r="C81" s="435">
        <v>12.5</v>
      </c>
      <c r="D81" s="435">
        <f>IF(C81&lt;='B1 '!$G$25,'B1 '!$H$25,IF(AND(C81&lt;='B1 '!$G$24,C81&gt;'B1 '!$G$25),0+(('B1 '!$H$25-'B1 '!$H$24)/('B1 '!$G$25-'B1 '!$G$24))*(C81-'B1 '!$G$24),0))</f>
        <v>50</v>
      </c>
      <c r="E81" s="611"/>
      <c r="F81" s="435">
        <v>2.5</v>
      </c>
      <c r="G81" s="435">
        <f>IF(F81&lt;='B1 '!$G$27,'B1 '!$H$27,IF(AND(F81&lt;='B1 '!$G$26,F81&gt;'B1 '!$G$27),0+(('B1 '!$H$27-'B1 '!$H$26)/('B1 '!$G$27-'B1 '!$G$26))*(F81-'B1 '!$G$26),0))</f>
        <v>22.5</v>
      </c>
      <c r="H81" s="611"/>
      <c r="I81" s="435">
        <v>25</v>
      </c>
      <c r="J81" s="435">
        <f>IF(I81&lt;='B1 '!$G$29,'B1 '!$H$29,IF(AND(I81&lt;='B1 '!$G$28,I81&gt;'B1 '!$G$29),0+(('B1 '!$H$29-'B1 '!$H$28)/('B1 '!$G$29-'B1 '!$G$28))*(I81-'B1 '!$G$28),0))</f>
        <v>120</v>
      </c>
      <c r="K81" s="611"/>
      <c r="L81" s="435">
        <v>2.5</v>
      </c>
      <c r="M81" s="435">
        <f>IF(L81&lt;='B1 '!$G$31,'B1 '!$H$31,IF(AND(L81&lt;='B1 '!$G$30,L81&gt;'B1 '!$G$31),0+(('B1 '!$H$31-'B1 '!$H$30)/('B1 '!$G$31-'B1 '!$G$30))*(L81-'B1 '!$G$30),0))</f>
        <v>135</v>
      </c>
      <c r="N81" s="415"/>
      <c r="O81" s="434"/>
      <c r="P81" s="612"/>
      <c r="Q81" s="436">
        <v>5</v>
      </c>
      <c r="R81" s="436">
        <f>IF(Q81&lt;='B1 '!$L$25,'B1 '!$M$25,IF(AND(Q81&lt;='B1 '!$L$24,Q81&gt;'B1 '!$L$25),0+(('B1 '!$M$25-'B1 '!$M$24)/('B1 '!$L$25-'B1 '!$L$24))*(Q81-'B1 '!$L$24),0))</f>
        <v>50</v>
      </c>
      <c r="S81" s="613"/>
      <c r="T81" s="436">
        <v>2.5</v>
      </c>
      <c r="U81" s="436">
        <f>IF(T81&lt;='B1 '!$L$27,'B1 '!$M$27,IF(AND(T81&lt;='B1 '!$L$26,T81&gt;'B1 '!$L$27),0+(('B1 '!$M$27-'B1 '!$M$26)/('B1 '!$L$27-'B1 '!$L$26))*(T81-'B1 '!$L$26),0))</f>
        <v>42.1875</v>
      </c>
      <c r="V81" s="613"/>
      <c r="W81" s="436">
        <v>25</v>
      </c>
      <c r="X81" s="436">
        <f>IF(W81&lt;='B1 '!$L$29,'B1 '!$M$29,IF(AND(W81&lt;='B1 '!$L$28,W81&gt;'B1 '!$L$29),0+(('B1 '!$M$29-'B1 '!$M$28)/('B1 '!$L$29-'B1 '!$L$28))*(W81-'B1 '!$L$28),0))</f>
        <v>120</v>
      </c>
      <c r="Y81" s="613"/>
      <c r="Z81" s="436">
        <v>2.5</v>
      </c>
      <c r="AA81" s="436">
        <f>IF(Z81&lt;='B1 '!$L$31,'B1 '!$M$31,IF(AND(Z81&lt;='B1 '!$L$30,Z81&gt;'B1 '!$L$31),0+(('B1 '!$M$31-'B1 '!$M$30)/('B1 '!$L$31-'B1 '!$L$30))*(Z81-'B1 '!$L$30),0))</f>
        <v>135</v>
      </c>
      <c r="AB81" s="183"/>
    </row>
    <row r="82" spans="2:28">
      <c r="B82" s="182"/>
      <c r="C82" s="435">
        <v>15</v>
      </c>
      <c r="D82" s="435">
        <f>IF(C82&lt;='B1 '!$G$25,'B1 '!$H$25,IF(AND(C82&lt;='B1 '!$G$24,C82&gt;'B1 '!$G$25),0+(('B1 '!$H$25-'B1 '!$H$24)/('B1 '!$G$25-'B1 '!$G$24))*(C82-'B1 '!$G$24),0))</f>
        <v>50</v>
      </c>
      <c r="E82" s="611"/>
      <c r="F82" s="435">
        <v>3</v>
      </c>
      <c r="G82" s="435">
        <f>IF(F82&lt;='B1 '!$G$27,'B1 '!$H$27,IF(AND(F82&lt;='B1 '!$G$26,F82&gt;'B1 '!$G$27),0+(('B1 '!$H$27-'B1 '!$H$26)/('B1 '!$G$27-'B1 '!$G$26))*(F82-'B1 '!$G$26),0))</f>
        <v>18</v>
      </c>
      <c r="H82" s="611"/>
      <c r="I82" s="435">
        <v>30</v>
      </c>
      <c r="J82" s="435">
        <f>IF(I82&lt;='B1 '!$G$29,'B1 '!$H$29,IF(AND(I82&lt;='B1 '!$G$28,I82&gt;'B1 '!$G$29),0+(('B1 '!$H$29-'B1 '!$H$28)/('B1 '!$G$29-'B1 '!$G$28))*(I82-'B1 '!$G$28),0))</f>
        <v>120</v>
      </c>
      <c r="K82" s="611"/>
      <c r="L82" s="435">
        <v>3</v>
      </c>
      <c r="M82" s="435">
        <f>IF(L82&lt;='B1 '!$G$31,'B1 '!$H$31,IF(AND(L82&lt;='B1 '!$G$30,L82&gt;'B1 '!$G$31),0+(('B1 '!$H$31-'B1 '!$H$30)/('B1 '!$G$31-'B1 '!$G$30))*(L82-'B1 '!$G$30),0))</f>
        <v>135</v>
      </c>
      <c r="N82" s="415"/>
      <c r="O82" s="434"/>
      <c r="P82" s="612"/>
      <c r="Q82" s="436">
        <v>6</v>
      </c>
      <c r="R82" s="436">
        <f>IF(Q82&lt;='B1 '!$L$25,'B1 '!$M$25,IF(AND(Q82&lt;='B1 '!$L$24,Q82&gt;'B1 '!$L$25),0+(('B1 '!$M$25-'B1 '!$M$24)/('B1 '!$L$25-'B1 '!$L$24))*(Q82-'B1 '!$L$24),0))</f>
        <v>50</v>
      </c>
      <c r="S82" s="613"/>
      <c r="T82" s="436">
        <v>3</v>
      </c>
      <c r="U82" s="436">
        <f>IF(T82&lt;='B1 '!$L$27,'B1 '!$M$27,IF(AND(T82&lt;='B1 '!$L$26,T82&gt;'B1 '!$L$27),0+(('B1 '!$M$27-'B1 '!$M$26)/('B1 '!$L$27-'B1 '!$L$26))*(T82-'B1 '!$L$26),0))</f>
        <v>39.375</v>
      </c>
      <c r="V82" s="613"/>
      <c r="W82" s="436">
        <v>30</v>
      </c>
      <c r="X82" s="436">
        <f>IF(W82&lt;='B1 '!$L$29,'B1 '!$M$29,IF(AND(W82&lt;='B1 '!$L$28,W82&gt;'B1 '!$L$29),0+(('B1 '!$M$29-'B1 '!$M$28)/('B1 '!$L$29-'B1 '!$L$28))*(W82-'B1 '!$L$28),0))</f>
        <v>120</v>
      </c>
      <c r="Y82" s="613"/>
      <c r="Z82" s="436">
        <v>3</v>
      </c>
      <c r="AA82" s="436">
        <f>IF(Z82&lt;='B1 '!$L$31,'B1 '!$M$31,IF(AND(Z82&lt;='B1 '!$L$30,Z82&gt;'B1 '!$L$31),0+(('B1 '!$M$31-'B1 '!$M$30)/('B1 '!$L$31-'B1 '!$L$30))*(Z82-'B1 '!$L$30),0))</f>
        <v>135</v>
      </c>
      <c r="AB82" s="183"/>
    </row>
    <row r="83" spans="2:28">
      <c r="B83" s="182"/>
      <c r="C83" s="435">
        <v>17.5</v>
      </c>
      <c r="D83" s="435">
        <f>IF(C83&lt;='B1 '!$G$25,'B1 '!$H$25,IF(AND(C83&lt;='B1 '!$G$24,C83&gt;'B1 '!$G$25),0+(('B1 '!$H$25-'B1 '!$H$24)/('B1 '!$G$25-'B1 '!$G$24))*(C83-'B1 '!$G$24),0))</f>
        <v>45.833333333333336</v>
      </c>
      <c r="E83" s="611"/>
      <c r="F83" s="435">
        <v>3.5</v>
      </c>
      <c r="G83" s="435">
        <f>IF(F83&lt;='B1 '!$G$27,'B1 '!$H$27,IF(AND(F83&lt;='B1 '!$G$26,F83&gt;'B1 '!$G$27),0+(('B1 '!$H$27-'B1 '!$H$26)/('B1 '!$G$27-'B1 '!$G$26))*(F83-'B1 '!$G$26),0))</f>
        <v>13.5</v>
      </c>
      <c r="H83" s="611"/>
      <c r="I83" s="435">
        <v>35</v>
      </c>
      <c r="J83" s="435">
        <f>IF(I83&lt;='B1 '!$G$29,'B1 '!$H$29,IF(AND(I83&lt;='B1 '!$G$28,I83&gt;'B1 '!$G$29),0+(('B1 '!$H$29-'B1 '!$H$28)/('B1 '!$G$29-'B1 '!$G$28))*(I83-'B1 '!$G$28),0))</f>
        <v>120</v>
      </c>
      <c r="K83" s="611"/>
      <c r="L83" s="435">
        <v>3.5</v>
      </c>
      <c r="M83" s="435">
        <f>IF(L83&lt;='B1 '!$G$31,'B1 '!$H$31,IF(AND(L83&lt;='B1 '!$G$30,L83&gt;'B1 '!$G$31),0+(('B1 '!$H$31-'B1 '!$H$30)/('B1 '!$G$31-'B1 '!$G$30))*(L83-'B1 '!$G$30),0))</f>
        <v>135</v>
      </c>
      <c r="N83" s="415"/>
      <c r="O83" s="434"/>
      <c r="P83" s="612"/>
      <c r="Q83" s="436">
        <v>7</v>
      </c>
      <c r="R83" s="436">
        <f>IF(Q83&lt;='B1 '!$L$25,'B1 '!$M$25,IF(AND(Q83&lt;='B1 '!$L$24,Q83&gt;'B1 '!$L$25),0+(('B1 '!$M$25-'B1 '!$M$24)/('B1 '!$L$25-'B1 '!$L$24))*(Q83-'B1 '!$L$24),0))</f>
        <v>50</v>
      </c>
      <c r="S83" s="613"/>
      <c r="T83" s="436">
        <v>3.5</v>
      </c>
      <c r="U83" s="436">
        <f>IF(T83&lt;='B1 '!$L$27,'B1 '!$M$27,IF(AND(T83&lt;='B1 '!$L$26,T83&gt;'B1 '!$L$27),0+(('B1 '!$M$27-'B1 '!$M$26)/('B1 '!$L$27-'B1 '!$L$26))*(T83-'B1 '!$L$26),0))</f>
        <v>36.5625</v>
      </c>
      <c r="V83" s="613"/>
      <c r="W83" s="436">
        <v>35</v>
      </c>
      <c r="X83" s="436">
        <f>IF(W83&lt;='B1 '!$L$29,'B1 '!$M$29,IF(AND(W83&lt;='B1 '!$L$28,W83&gt;'B1 '!$L$29),0+(('B1 '!$M$29-'B1 '!$M$28)/('B1 '!$L$29-'B1 '!$L$28))*(W83-'B1 '!$L$28),0))</f>
        <v>120</v>
      </c>
      <c r="Y83" s="613"/>
      <c r="Z83" s="436">
        <v>3.5</v>
      </c>
      <c r="AA83" s="436">
        <f>IF(Z83&lt;='B1 '!$L$31,'B1 '!$M$31,IF(AND(Z83&lt;='B1 '!$L$30,Z83&gt;'B1 '!$L$31),0+(('B1 '!$M$31-'B1 '!$M$30)/('B1 '!$L$31-'B1 '!$L$30))*(Z83-'B1 '!$L$30),0))</f>
        <v>135</v>
      </c>
      <c r="AB83" s="183"/>
    </row>
    <row r="84" spans="2:28">
      <c r="B84" s="182"/>
      <c r="C84" s="435">
        <v>20</v>
      </c>
      <c r="D84" s="435">
        <f>IF(C84&lt;='B1 '!$G$25,'B1 '!$H$25,IF(AND(C84&lt;='B1 '!$G$24,C84&gt;'B1 '!$G$25),0+(('B1 '!$H$25-'B1 '!$H$24)/('B1 '!$G$25-'B1 '!$G$24))*(C84-'B1 '!$G$24),0))</f>
        <v>41.666666666666671</v>
      </c>
      <c r="E84" s="611"/>
      <c r="F84" s="435">
        <v>4</v>
      </c>
      <c r="G84" s="435">
        <f>IF(F84&lt;='B1 '!$G$27,'B1 '!$H$27,IF(AND(F84&lt;='B1 '!$G$26,F84&gt;'B1 '!$G$27),0+(('B1 '!$H$27-'B1 '!$H$26)/('B1 '!$G$27-'B1 '!$G$26))*(F84-'B1 '!$G$26),0))</f>
        <v>9</v>
      </c>
      <c r="H84" s="611"/>
      <c r="I84" s="435">
        <v>40</v>
      </c>
      <c r="J84" s="435">
        <f>IF(I84&lt;='B1 '!$G$29,'B1 '!$H$29,IF(AND(I84&lt;='B1 '!$G$28,I84&gt;'B1 '!$G$29),0+(('B1 '!$H$29-'B1 '!$H$28)/('B1 '!$G$29-'B1 '!$G$28))*(I84-'B1 '!$G$28),0))</f>
        <v>120</v>
      </c>
      <c r="K84" s="611"/>
      <c r="L84" s="435">
        <v>4</v>
      </c>
      <c r="M84" s="435">
        <f>IF(L84&lt;='B1 '!$G$31,'B1 '!$H$31,IF(AND(L84&lt;='B1 '!$G$30,L84&gt;'B1 '!$G$31),0+(('B1 '!$H$31-'B1 '!$H$30)/('B1 '!$G$31-'B1 '!$G$30))*(L84-'B1 '!$G$30),0))</f>
        <v>135</v>
      </c>
      <c r="N84" s="415"/>
      <c r="O84" s="434"/>
      <c r="P84" s="612"/>
      <c r="Q84" s="436">
        <v>8</v>
      </c>
      <c r="R84" s="436">
        <f>IF(Q84&lt;='B1 '!$L$25,'B1 '!$M$25,IF(AND(Q84&lt;='B1 '!$L$24,Q84&gt;'B1 '!$L$25),0+(('B1 '!$M$25-'B1 '!$M$24)/('B1 '!$L$25-'B1 '!$L$24))*(Q84-'B1 '!$L$24),0))</f>
        <v>50</v>
      </c>
      <c r="S84" s="613"/>
      <c r="T84" s="436">
        <v>4</v>
      </c>
      <c r="U84" s="436">
        <f>IF(T84&lt;='B1 '!$L$27,'B1 '!$M$27,IF(AND(T84&lt;='B1 '!$L$26,T84&gt;'B1 '!$L$27),0+(('B1 '!$M$27-'B1 '!$M$26)/('B1 '!$L$27-'B1 '!$L$26))*(T84-'B1 '!$L$26),0))</f>
        <v>33.75</v>
      </c>
      <c r="V84" s="613"/>
      <c r="W84" s="436">
        <v>40</v>
      </c>
      <c r="X84" s="436">
        <f>IF(W84&lt;='B1 '!$L$29,'B1 '!$M$29,IF(AND(W84&lt;='B1 '!$L$28,W84&gt;'B1 '!$L$29),0+(('B1 '!$M$29-'B1 '!$M$28)/('B1 '!$L$29-'B1 '!$L$28))*(W84-'B1 '!$L$28),0))</f>
        <v>120</v>
      </c>
      <c r="Y84" s="613"/>
      <c r="Z84" s="436">
        <v>4</v>
      </c>
      <c r="AA84" s="436">
        <f>IF(Z84&lt;='B1 '!$L$31,'B1 '!$M$31,IF(AND(Z84&lt;='B1 '!$L$30,Z84&gt;'B1 '!$L$31),0+(('B1 '!$M$31-'B1 '!$M$30)/('B1 '!$L$31-'B1 '!$L$30))*(Z84-'B1 '!$L$30),0))</f>
        <v>135</v>
      </c>
      <c r="AB84" s="183"/>
    </row>
    <row r="85" spans="2:28">
      <c r="B85" s="182"/>
      <c r="C85" s="435">
        <v>22.5</v>
      </c>
      <c r="D85" s="435">
        <f>IF(C85&lt;='B1 '!$G$25,'B1 '!$H$25,IF(AND(C85&lt;='B1 '!$G$24,C85&gt;'B1 '!$G$25),0+(('B1 '!$H$25-'B1 '!$H$24)/('B1 '!$G$25-'B1 '!$G$24))*(C85-'B1 '!$G$24),0))</f>
        <v>37.5</v>
      </c>
      <c r="E85" s="611"/>
      <c r="F85" s="435">
        <v>4.5</v>
      </c>
      <c r="G85" s="435">
        <f>IF(F85&lt;='B1 '!$G$27,'B1 '!$H$27,IF(AND(F85&lt;='B1 '!$G$26,F85&gt;'B1 '!$G$27),0+(('B1 '!$H$27-'B1 '!$H$26)/('B1 '!$G$27-'B1 '!$G$26))*(F85-'B1 '!$G$26),0))</f>
        <v>4.5</v>
      </c>
      <c r="H85" s="611"/>
      <c r="I85" s="435">
        <v>45</v>
      </c>
      <c r="J85" s="435">
        <f>IF(I85&lt;='B1 '!$G$29,'B1 '!$H$29,IF(AND(I85&lt;='B1 '!$G$28,I85&gt;'B1 '!$G$29),0+(('B1 '!$H$29-'B1 '!$H$28)/('B1 '!$G$29-'B1 '!$G$28))*(I85-'B1 '!$G$28),0))</f>
        <v>120</v>
      </c>
      <c r="K85" s="611"/>
      <c r="L85" s="435">
        <v>4.5</v>
      </c>
      <c r="M85" s="435">
        <f>IF(L85&lt;='B1 '!$G$31,'B1 '!$H$31,IF(AND(L85&lt;='B1 '!$G$30,L85&gt;'B1 '!$G$31),0+(('B1 '!$H$31-'B1 '!$H$30)/('B1 '!$G$31-'B1 '!$G$30))*(L85-'B1 '!$G$30),0))</f>
        <v>135</v>
      </c>
      <c r="N85" s="415"/>
      <c r="O85" s="434"/>
      <c r="P85" s="612"/>
      <c r="Q85" s="436">
        <v>9</v>
      </c>
      <c r="R85" s="436">
        <f>IF(Q85&lt;='B1 '!$L$25,'B1 '!$M$25,IF(AND(Q85&lt;='B1 '!$L$24,Q85&gt;'B1 '!$L$25),0+(('B1 '!$M$25-'B1 '!$M$24)/('B1 '!$L$25-'B1 '!$L$24))*(Q85-'B1 '!$L$24),0))</f>
        <v>50</v>
      </c>
      <c r="S85" s="613"/>
      <c r="T85" s="436">
        <v>4.5</v>
      </c>
      <c r="U85" s="436">
        <f>IF(T85&lt;='B1 '!$L$27,'B1 '!$M$27,IF(AND(T85&lt;='B1 '!$L$26,T85&gt;'B1 '!$L$27),0+(('B1 '!$M$27-'B1 '!$M$26)/('B1 '!$L$27-'B1 '!$L$26))*(T85-'B1 '!$L$26),0))</f>
        <v>30.9375</v>
      </c>
      <c r="V85" s="613"/>
      <c r="W85" s="436">
        <v>45</v>
      </c>
      <c r="X85" s="436">
        <f>IF(W85&lt;='B1 '!$L$29,'B1 '!$M$29,IF(AND(W85&lt;='B1 '!$L$28,W85&gt;'B1 '!$L$29),0+(('B1 '!$M$29-'B1 '!$M$28)/('B1 '!$L$29-'B1 '!$L$28))*(W85-'B1 '!$L$28),0))</f>
        <v>120</v>
      </c>
      <c r="Y85" s="613"/>
      <c r="Z85" s="436">
        <v>4.5</v>
      </c>
      <c r="AA85" s="436">
        <f>IF(Z85&lt;='B1 '!$L$31,'B1 '!$M$31,IF(AND(Z85&lt;='B1 '!$L$30,Z85&gt;'B1 '!$L$31),0+(('B1 '!$M$31-'B1 '!$M$30)/('B1 '!$L$31-'B1 '!$L$30))*(Z85-'B1 '!$L$30),0))</f>
        <v>135</v>
      </c>
      <c r="AB85" s="183"/>
    </row>
    <row r="86" spans="2:28">
      <c r="B86" s="182"/>
      <c r="C86" s="435">
        <v>25</v>
      </c>
      <c r="D86" s="435">
        <f>IF(C86&lt;='B1 '!$G$25,'B1 '!$H$25,IF(AND(C86&lt;='B1 '!$G$24,C86&gt;'B1 '!$G$25),0+(('B1 '!$H$25-'B1 '!$H$24)/('B1 '!$G$25-'B1 '!$G$24))*(C86-'B1 '!$G$24),0))</f>
        <v>33.333333333333336</v>
      </c>
      <c r="E86" s="611"/>
      <c r="F86" s="435">
        <v>5</v>
      </c>
      <c r="G86" s="435">
        <f>IF(F86&lt;='B1 '!$G$27,'B1 '!$H$27,IF(AND(F86&lt;='B1 '!$G$26,F86&gt;'B1 '!$G$27),0+(('B1 '!$H$27-'B1 '!$H$26)/('B1 '!$G$27-'B1 '!$G$26))*(F86-'B1 '!$G$26),0))</f>
        <v>0</v>
      </c>
      <c r="H86" s="611"/>
      <c r="I86" s="435">
        <v>50</v>
      </c>
      <c r="J86" s="435">
        <f>IF(I86&lt;='B1 '!$G$29,'B1 '!$H$29,IF(AND(I86&lt;='B1 '!$G$28,I86&gt;'B1 '!$G$29),0+(('B1 '!$H$29-'B1 '!$H$28)/('B1 '!$G$29-'B1 '!$G$28))*(I86-'B1 '!$G$28),0))</f>
        <v>120</v>
      </c>
      <c r="K86" s="611"/>
      <c r="L86" s="435">
        <v>5</v>
      </c>
      <c r="M86" s="435">
        <f>IF(L86&lt;='B1 '!$G$31,'B1 '!$H$31,IF(AND(L86&lt;='B1 '!$G$30,L86&gt;'B1 '!$G$31),0+(('B1 '!$H$31-'B1 '!$H$30)/('B1 '!$G$31-'B1 '!$G$30))*(L86-'B1 '!$G$30),0))</f>
        <v>135</v>
      </c>
      <c r="N86" s="415"/>
      <c r="O86" s="434"/>
      <c r="P86" s="612"/>
      <c r="Q86" s="436">
        <v>10</v>
      </c>
      <c r="R86" s="436">
        <f>IF(Q86&lt;='B1 '!$L$25,'B1 '!$M$25,IF(AND(Q86&lt;='B1 '!$L$24,Q86&gt;'B1 '!$L$25),0+(('B1 '!$M$25-'B1 '!$M$24)/('B1 '!$L$25-'B1 '!$L$24))*(Q86-'B1 '!$L$24),0))</f>
        <v>50</v>
      </c>
      <c r="S86" s="613"/>
      <c r="T86" s="436">
        <v>5</v>
      </c>
      <c r="U86" s="436">
        <f>IF(T86&lt;='B1 '!$L$27,'B1 '!$M$27,IF(AND(T86&lt;='B1 '!$L$26,T86&gt;'B1 '!$L$27),0+(('B1 '!$M$27-'B1 '!$M$26)/('B1 '!$L$27-'B1 '!$L$26))*(T86-'B1 '!$L$26),0))</f>
        <v>28.125</v>
      </c>
      <c r="V86" s="613"/>
      <c r="W86" s="436">
        <v>50</v>
      </c>
      <c r="X86" s="436">
        <f>IF(W86&lt;='B1 '!$L$29,'B1 '!$M$29,IF(AND(W86&lt;='B1 '!$L$28,W86&gt;'B1 '!$L$29),0+(('B1 '!$M$29-'B1 '!$M$28)/('B1 '!$L$29-'B1 '!$L$28))*(W86-'B1 '!$L$28),0))</f>
        <v>120</v>
      </c>
      <c r="Y86" s="613"/>
      <c r="Z86" s="436">
        <v>5</v>
      </c>
      <c r="AA86" s="436">
        <f>IF(Z86&lt;='B1 '!$L$31,'B1 '!$M$31,IF(AND(Z86&lt;='B1 '!$L$30,Z86&gt;'B1 '!$L$31),0+(('B1 '!$M$31-'B1 '!$M$30)/('B1 '!$L$31-'B1 '!$L$30))*(Z86-'B1 '!$L$30),0))</f>
        <v>135</v>
      </c>
      <c r="AB86" s="183"/>
    </row>
    <row r="87" spans="2:28">
      <c r="B87" s="182"/>
      <c r="C87" s="435">
        <v>27.5</v>
      </c>
      <c r="D87" s="435">
        <f>IF(C87&lt;='B1 '!$G$25,'B1 '!$H$25,IF(AND(C87&lt;='B1 '!$G$24,C87&gt;'B1 '!$G$25),0+(('B1 '!$H$25-'B1 '!$H$24)/('B1 '!$G$25-'B1 '!$G$24))*(C87-'B1 '!$G$24),0))</f>
        <v>29.166666666666668</v>
      </c>
      <c r="E87" s="611"/>
      <c r="F87" s="435">
        <v>5.5</v>
      </c>
      <c r="G87" s="435">
        <f>IF(F87&lt;='B1 '!$G$27,'B1 '!$H$27,IF(AND(F87&lt;='B1 '!$G$26,F87&gt;'B1 '!$G$27),0+(('B1 '!$H$27-'B1 '!$H$26)/('B1 '!$G$27-'B1 '!$G$26))*(F87-'B1 '!$G$26),0))</f>
        <v>0</v>
      </c>
      <c r="H87" s="611"/>
      <c r="I87" s="435">
        <v>55</v>
      </c>
      <c r="J87" s="435">
        <f>IF(I87&lt;='B1 '!$G$29,'B1 '!$H$29,IF(AND(I87&lt;='B1 '!$G$28,I87&gt;'B1 '!$G$29),0+(('B1 '!$H$29-'B1 '!$H$28)/('B1 '!$G$29-'B1 '!$G$28))*(I87-'B1 '!$G$28),0))</f>
        <v>120</v>
      </c>
      <c r="K87" s="611"/>
      <c r="L87" s="435">
        <v>5.5</v>
      </c>
      <c r="M87" s="435">
        <f>IF(L87&lt;='B1 '!$G$31,'B1 '!$H$31,IF(AND(L87&lt;='B1 '!$G$30,L87&gt;'B1 '!$G$31),0+(('B1 '!$H$31-'B1 '!$H$30)/('B1 '!$G$31-'B1 '!$G$30))*(L87-'B1 '!$G$30),0))</f>
        <v>135</v>
      </c>
      <c r="N87" s="415"/>
      <c r="O87" s="434"/>
      <c r="P87" s="612"/>
      <c r="Q87" s="436">
        <v>11</v>
      </c>
      <c r="R87" s="436">
        <f>IF(Q87&lt;='B1 '!$L$25,'B1 '!$M$25,IF(AND(Q87&lt;='B1 '!$L$24,Q87&gt;'B1 '!$L$25),0+(('B1 '!$M$25-'B1 '!$M$24)/('B1 '!$L$25-'B1 '!$L$24))*(Q87-'B1 '!$L$24),0))</f>
        <v>50</v>
      </c>
      <c r="S87" s="613"/>
      <c r="T87" s="436">
        <v>5.5</v>
      </c>
      <c r="U87" s="436">
        <f>IF(T87&lt;='B1 '!$L$27,'B1 '!$M$27,IF(AND(T87&lt;='B1 '!$L$26,T87&gt;'B1 '!$L$27),0+(('B1 '!$M$27-'B1 '!$M$26)/('B1 '!$L$27-'B1 '!$L$26))*(T87-'B1 '!$L$26),0))</f>
        <v>25.3125</v>
      </c>
      <c r="V87" s="613"/>
      <c r="W87" s="436">
        <v>55</v>
      </c>
      <c r="X87" s="436">
        <f>IF(W87&lt;='B1 '!$L$29,'B1 '!$M$29,IF(AND(W87&lt;='B1 '!$L$28,W87&gt;'B1 '!$L$29),0+(('B1 '!$M$29-'B1 '!$M$28)/('B1 '!$L$29-'B1 '!$L$28))*(W87-'B1 '!$L$28),0))</f>
        <v>120</v>
      </c>
      <c r="Y87" s="613"/>
      <c r="Z87" s="436">
        <v>5.5</v>
      </c>
      <c r="AA87" s="436">
        <f>IF(Z87&lt;='B1 '!$L$31,'B1 '!$M$31,IF(AND(Z87&lt;='B1 '!$L$30,Z87&gt;'B1 '!$L$31),0+(('B1 '!$M$31-'B1 '!$M$30)/('B1 '!$L$31-'B1 '!$L$30))*(Z87-'B1 '!$L$30),0))</f>
        <v>135</v>
      </c>
      <c r="AB87" s="183"/>
    </row>
    <row r="88" spans="2:28">
      <c r="B88" s="182"/>
      <c r="C88" s="435">
        <v>30</v>
      </c>
      <c r="D88" s="435">
        <f>IF(C88&lt;='B1 '!$G$25,'B1 '!$H$25,IF(AND(C88&lt;='B1 '!$G$24,C88&gt;'B1 '!$G$25),0+(('B1 '!$H$25-'B1 '!$H$24)/('B1 '!$G$25-'B1 '!$G$24))*(C88-'B1 '!$G$24),0))</f>
        <v>25</v>
      </c>
      <c r="E88" s="611"/>
      <c r="F88" s="435">
        <v>6</v>
      </c>
      <c r="G88" s="435">
        <f>IF(F88&lt;='B1 '!$G$27,'B1 '!$H$27,IF(AND(F88&lt;='B1 '!$G$26,F88&gt;'B1 '!$G$27),0+(('B1 '!$H$27-'B1 '!$H$26)/('B1 '!$G$27-'B1 '!$G$26))*(F88-'B1 '!$G$26),0))</f>
        <v>0</v>
      </c>
      <c r="H88" s="611"/>
      <c r="I88" s="435">
        <v>60</v>
      </c>
      <c r="J88" s="435">
        <f>IF(I88&lt;='B1 '!$G$29,'B1 '!$H$29,IF(AND(I88&lt;='B1 '!$G$28,I88&gt;'B1 '!$G$29),0+(('B1 '!$H$29-'B1 '!$H$28)/('B1 '!$G$29-'B1 '!$G$28))*(I88-'B1 '!$G$28),0))</f>
        <v>120</v>
      </c>
      <c r="K88" s="611"/>
      <c r="L88" s="435">
        <v>6</v>
      </c>
      <c r="M88" s="435">
        <f>IF(L88&lt;='B1 '!$G$31,'B1 '!$H$31,IF(AND(L88&lt;='B1 '!$G$30,L88&gt;'B1 '!$G$31),0+(('B1 '!$H$31-'B1 '!$H$30)/('B1 '!$G$31-'B1 '!$G$30))*(L88-'B1 '!$G$30),0))</f>
        <v>135</v>
      </c>
      <c r="N88" s="415"/>
      <c r="O88" s="434"/>
      <c r="P88" s="612"/>
      <c r="Q88" s="436">
        <v>12</v>
      </c>
      <c r="R88" s="436">
        <f>IF(Q88&lt;='B1 '!$L$25,'B1 '!$M$25,IF(AND(Q88&lt;='B1 '!$L$24,Q88&gt;'B1 '!$L$25),0+(('B1 '!$M$25-'B1 '!$M$24)/('B1 '!$L$25-'B1 '!$L$24))*(Q88-'B1 '!$L$24),0))</f>
        <v>50</v>
      </c>
      <c r="S88" s="613"/>
      <c r="T88" s="436">
        <v>6</v>
      </c>
      <c r="U88" s="436">
        <f>IF(T88&lt;='B1 '!$L$27,'B1 '!$M$27,IF(AND(T88&lt;='B1 '!$L$26,T88&gt;'B1 '!$L$27),0+(('B1 '!$M$27-'B1 '!$M$26)/('B1 '!$L$27-'B1 '!$L$26))*(T88-'B1 '!$L$26),0))</f>
        <v>22.5</v>
      </c>
      <c r="V88" s="613"/>
      <c r="W88" s="436">
        <v>60</v>
      </c>
      <c r="X88" s="436">
        <f>IF(W88&lt;='B1 '!$L$29,'B1 '!$M$29,IF(AND(W88&lt;='B1 '!$L$28,W88&gt;'B1 '!$L$29),0+(('B1 '!$M$29-'B1 '!$M$28)/('B1 '!$L$29-'B1 '!$L$28))*(W88-'B1 '!$L$28),0))</f>
        <v>120</v>
      </c>
      <c r="Y88" s="613"/>
      <c r="Z88" s="436">
        <v>6</v>
      </c>
      <c r="AA88" s="436">
        <f>IF(Z88&lt;='B1 '!$L$31,'B1 '!$M$31,IF(AND(Z88&lt;='B1 '!$L$30,Z88&gt;'B1 '!$L$31),0+(('B1 '!$M$31-'B1 '!$M$30)/('B1 '!$L$31-'B1 '!$L$30))*(Z88-'B1 '!$L$30),0))</f>
        <v>135</v>
      </c>
      <c r="AB88" s="183"/>
    </row>
    <row r="89" spans="2:28">
      <c r="B89" s="182"/>
      <c r="C89" s="435">
        <v>32.5</v>
      </c>
      <c r="D89" s="435">
        <f>IF(C89&lt;='B1 '!$G$25,'B1 '!$H$25,IF(AND(C89&lt;='B1 '!$G$24,C89&gt;'B1 '!$G$25),0+(('B1 '!$H$25-'B1 '!$H$24)/('B1 '!$G$25-'B1 '!$G$24))*(C89-'B1 '!$G$24),0))</f>
        <v>20.833333333333336</v>
      </c>
      <c r="E89" s="611"/>
      <c r="F89" s="435">
        <v>6.5</v>
      </c>
      <c r="G89" s="435">
        <f>IF(F89&lt;='B1 '!$G$27,'B1 '!$H$27,IF(AND(F89&lt;='B1 '!$G$26,F89&gt;'B1 '!$G$27),0+(('B1 '!$H$27-'B1 '!$H$26)/('B1 '!$G$27-'B1 '!$G$26))*(F89-'B1 '!$G$26),0))</f>
        <v>0</v>
      </c>
      <c r="H89" s="611"/>
      <c r="I89" s="435">
        <v>65</v>
      </c>
      <c r="J89" s="435">
        <f>IF(I89&lt;='B1 '!$G$29,'B1 '!$H$29,IF(AND(I89&lt;='B1 '!$G$28,I89&gt;'B1 '!$G$29),0+(('B1 '!$H$29-'B1 '!$H$28)/('B1 '!$G$29-'B1 '!$G$28))*(I89-'B1 '!$G$28),0))</f>
        <v>115</v>
      </c>
      <c r="K89" s="611"/>
      <c r="L89" s="435">
        <v>6.5</v>
      </c>
      <c r="M89" s="435">
        <f>IF(L89&lt;='B1 '!$G$31,'B1 '!$H$31,IF(AND(L89&lt;='B1 '!$G$30,L89&gt;'B1 '!$G$31),0+(('B1 '!$H$31-'B1 '!$H$30)/('B1 '!$G$31-'B1 '!$G$30))*(L89-'B1 '!$G$30),0))</f>
        <v>135</v>
      </c>
      <c r="N89" s="415"/>
      <c r="O89" s="434"/>
      <c r="P89" s="612"/>
      <c r="Q89" s="436">
        <v>13</v>
      </c>
      <c r="R89" s="436">
        <f>IF(Q89&lt;='B1 '!$L$25,'B1 '!$M$25,IF(AND(Q89&lt;='B1 '!$L$24,Q89&gt;'B1 '!$L$25),0+(('B1 '!$M$25-'B1 '!$M$24)/('B1 '!$L$25-'B1 '!$L$24))*(Q89-'B1 '!$L$24),0))</f>
        <v>50</v>
      </c>
      <c r="S89" s="613"/>
      <c r="T89" s="436">
        <v>6.5</v>
      </c>
      <c r="U89" s="436">
        <f>IF(T89&lt;='B1 '!$L$27,'B1 '!$M$27,IF(AND(T89&lt;='B1 '!$L$26,T89&gt;'B1 '!$L$27),0+(('B1 '!$M$27-'B1 '!$M$26)/('B1 '!$L$27-'B1 '!$L$26))*(T89-'B1 '!$L$26),0))</f>
        <v>19.6875</v>
      </c>
      <c r="V89" s="613"/>
      <c r="W89" s="436">
        <v>65</v>
      </c>
      <c r="X89" s="436">
        <f>IF(W89&lt;='B1 '!$L$29,'B1 '!$M$29,IF(AND(W89&lt;='B1 '!$L$28,W89&gt;'B1 '!$L$29),0+(('B1 '!$M$29-'B1 '!$M$28)/('B1 '!$L$29-'B1 '!$L$28))*(W89-'B1 '!$L$28),0))</f>
        <v>115.71428571428571</v>
      </c>
      <c r="Y89" s="613"/>
      <c r="Z89" s="436">
        <v>6.5</v>
      </c>
      <c r="AA89" s="436">
        <f>IF(Z89&lt;='B1 '!$L$31,'B1 '!$M$31,IF(AND(Z89&lt;='B1 '!$L$30,Z89&gt;'B1 '!$L$31),0+(('B1 '!$M$31-'B1 '!$M$30)/('B1 '!$L$31-'B1 '!$L$30))*(Z89-'B1 '!$L$30),0))</f>
        <v>135</v>
      </c>
      <c r="AB89" s="183"/>
    </row>
    <row r="90" spans="2:28">
      <c r="B90" s="182"/>
      <c r="C90" s="435">
        <v>35</v>
      </c>
      <c r="D90" s="435">
        <f>IF(C90&lt;='B1 '!$G$25,'B1 '!$H$25,IF(AND(C90&lt;='B1 '!$G$24,C90&gt;'B1 '!$G$25),0+(('B1 '!$H$25-'B1 '!$H$24)/('B1 '!$G$25-'B1 '!$G$24))*(C90-'B1 '!$G$24),0))</f>
        <v>16.666666666666668</v>
      </c>
      <c r="E90" s="611"/>
      <c r="F90" s="435">
        <v>7</v>
      </c>
      <c r="G90" s="435">
        <f>IF(F90&lt;='B1 '!$G$27,'B1 '!$H$27,IF(AND(F90&lt;='B1 '!$G$26,F90&gt;'B1 '!$G$27),0+(('B1 '!$H$27-'B1 '!$H$26)/('B1 '!$G$27-'B1 '!$G$26))*(F90-'B1 '!$G$26),0))</f>
        <v>0</v>
      </c>
      <c r="H90" s="611"/>
      <c r="I90" s="435">
        <v>70</v>
      </c>
      <c r="J90" s="435">
        <f>IF(I90&lt;='B1 '!$G$29,'B1 '!$H$29,IF(AND(I90&lt;='B1 '!$G$28,I90&gt;'B1 '!$G$29),0+(('B1 '!$H$29-'B1 '!$H$28)/('B1 '!$G$29-'B1 '!$G$28))*(I90-'B1 '!$G$28),0))</f>
        <v>110</v>
      </c>
      <c r="K90" s="611"/>
      <c r="L90" s="435">
        <v>7</v>
      </c>
      <c r="M90" s="435">
        <f>IF(L90&lt;='B1 '!$G$31,'B1 '!$H$31,IF(AND(L90&lt;='B1 '!$G$30,L90&gt;'B1 '!$G$31),0+(('B1 '!$H$31-'B1 '!$H$30)/('B1 '!$G$31-'B1 '!$G$30))*(L90-'B1 '!$G$30),0))</f>
        <v>135</v>
      </c>
      <c r="N90" s="415"/>
      <c r="O90" s="434"/>
      <c r="P90" s="612"/>
      <c r="Q90" s="436">
        <v>14</v>
      </c>
      <c r="R90" s="436">
        <f>IF(Q90&lt;='B1 '!$L$25,'B1 '!$M$25,IF(AND(Q90&lt;='B1 '!$L$24,Q90&gt;'B1 '!$L$25),0+(('B1 '!$M$25-'B1 '!$M$24)/('B1 '!$L$25-'B1 '!$L$24))*(Q90-'B1 '!$L$24),0))</f>
        <v>50</v>
      </c>
      <c r="S90" s="613"/>
      <c r="T90" s="436">
        <v>7</v>
      </c>
      <c r="U90" s="436">
        <f>IF(T90&lt;='B1 '!$L$27,'B1 '!$M$27,IF(AND(T90&lt;='B1 '!$L$26,T90&gt;'B1 '!$L$27),0+(('B1 '!$M$27-'B1 '!$M$26)/('B1 '!$L$27-'B1 '!$L$26))*(T90-'B1 '!$L$26),0))</f>
        <v>16.875</v>
      </c>
      <c r="V90" s="613"/>
      <c r="W90" s="436">
        <v>70</v>
      </c>
      <c r="X90" s="436">
        <f>IF(W90&lt;='B1 '!$L$29,'B1 '!$M$29,IF(AND(W90&lt;='B1 '!$L$28,W90&gt;'B1 '!$L$29),0+(('B1 '!$M$29-'B1 '!$M$28)/('B1 '!$L$29-'B1 '!$L$28))*(W90-'B1 '!$L$28),0))</f>
        <v>111.42857142857142</v>
      </c>
      <c r="Y90" s="613"/>
      <c r="Z90" s="436">
        <v>7</v>
      </c>
      <c r="AA90" s="436">
        <f>IF(Z90&lt;='B1 '!$L$31,'B1 '!$M$31,IF(AND(Z90&lt;='B1 '!$L$30,Z90&gt;'B1 '!$L$31),0+(('B1 '!$M$31-'B1 '!$M$30)/('B1 '!$L$31-'B1 '!$L$30))*(Z90-'B1 '!$L$30),0))</f>
        <v>135</v>
      </c>
      <c r="AB90" s="183"/>
    </row>
    <row r="91" spans="2:28">
      <c r="B91" s="182"/>
      <c r="C91" s="435">
        <v>37.5</v>
      </c>
      <c r="D91" s="435">
        <f>IF(C91&lt;='B1 '!$G$25,'B1 '!$H$25,IF(AND(C91&lt;='B1 '!$G$24,C91&gt;'B1 '!$G$25),0+(('B1 '!$H$25-'B1 '!$H$24)/('B1 '!$G$25-'B1 '!$G$24))*(C91-'B1 '!$G$24),0))</f>
        <v>12.5</v>
      </c>
      <c r="E91" s="611"/>
      <c r="F91" s="435">
        <v>7.5</v>
      </c>
      <c r="G91" s="435">
        <f>IF(F91&lt;='B1 '!$G$27,'B1 '!$H$27,IF(AND(F91&lt;='B1 '!$G$26,F91&gt;'B1 '!$G$27),0+(('B1 '!$H$27-'B1 '!$H$26)/('B1 '!$G$27-'B1 '!$G$26))*(F91-'B1 '!$G$26),0))</f>
        <v>0</v>
      </c>
      <c r="H91" s="611"/>
      <c r="I91" s="435">
        <v>75</v>
      </c>
      <c r="J91" s="435">
        <f>IF(I91&lt;='B1 '!$G$29,'B1 '!$H$29,IF(AND(I91&lt;='B1 '!$G$28,I91&gt;'B1 '!$G$29),0+(('B1 '!$H$29-'B1 '!$H$28)/('B1 '!$G$29-'B1 '!$G$28))*(I91-'B1 '!$G$28),0))</f>
        <v>105</v>
      </c>
      <c r="K91" s="611"/>
      <c r="L91" s="435">
        <v>7.5</v>
      </c>
      <c r="M91" s="435">
        <f>IF(L91&lt;='B1 '!$G$31,'B1 '!$H$31,IF(AND(L91&lt;='B1 '!$G$30,L91&gt;'B1 '!$G$31),0+(('B1 '!$H$31-'B1 '!$H$30)/('B1 '!$G$31-'B1 '!$G$30))*(L91-'B1 '!$G$30),0))</f>
        <v>135</v>
      </c>
      <c r="N91" s="415"/>
      <c r="O91" s="434"/>
      <c r="P91" s="612"/>
      <c r="Q91" s="436">
        <v>15</v>
      </c>
      <c r="R91" s="436">
        <f>IF(Q91&lt;='B1 '!$L$25,'B1 '!$M$25,IF(AND(Q91&lt;='B1 '!$L$24,Q91&gt;'B1 '!$L$25),0+(('B1 '!$M$25-'B1 '!$M$24)/('B1 '!$L$25-'B1 '!$L$24))*(Q91-'B1 '!$L$24),0))</f>
        <v>50</v>
      </c>
      <c r="S91" s="613"/>
      <c r="T91" s="436">
        <v>7.5</v>
      </c>
      <c r="U91" s="436">
        <f>IF(T91&lt;='B1 '!$L$27,'B1 '!$M$27,IF(AND(T91&lt;='B1 '!$L$26,T91&gt;'B1 '!$L$27),0+(('B1 '!$M$27-'B1 '!$M$26)/('B1 '!$L$27-'B1 '!$L$26))*(T91-'B1 '!$L$26),0))</f>
        <v>14.0625</v>
      </c>
      <c r="V91" s="613"/>
      <c r="W91" s="436">
        <v>75</v>
      </c>
      <c r="X91" s="436">
        <f>IF(W91&lt;='B1 '!$L$29,'B1 '!$M$29,IF(AND(W91&lt;='B1 '!$L$28,W91&gt;'B1 '!$L$29),0+(('B1 '!$M$29-'B1 '!$M$28)/('B1 '!$L$29-'B1 '!$L$28))*(W91-'B1 '!$L$28),0))</f>
        <v>107.14285714285714</v>
      </c>
      <c r="Y91" s="613"/>
      <c r="Z91" s="436">
        <v>7.5</v>
      </c>
      <c r="AA91" s="436">
        <f>IF(Z91&lt;='B1 '!$L$31,'B1 '!$M$31,IF(AND(Z91&lt;='B1 '!$L$30,Z91&gt;'B1 '!$L$31),0+(('B1 '!$M$31-'B1 '!$M$30)/('B1 '!$L$31-'B1 '!$L$30))*(Z91-'B1 '!$L$30),0))</f>
        <v>135</v>
      </c>
      <c r="AB91" s="183"/>
    </row>
    <row r="92" spans="2:28">
      <c r="B92" s="182"/>
      <c r="C92" s="435">
        <v>40</v>
      </c>
      <c r="D92" s="435">
        <f>IF(C92&lt;='B1 '!$G$25,'B1 '!$H$25,IF(AND(C92&lt;='B1 '!$G$24,C92&gt;'B1 '!$G$25),0+(('B1 '!$H$25-'B1 '!$H$24)/('B1 '!$G$25-'B1 '!$G$24))*(C92-'B1 '!$G$24),0))</f>
        <v>8.3333333333333339</v>
      </c>
      <c r="E92" s="611"/>
      <c r="F92" s="435">
        <v>8</v>
      </c>
      <c r="G92" s="435">
        <f>IF(F92&lt;='B1 '!$G$27,'B1 '!$H$27,IF(AND(F92&lt;='B1 '!$G$26,F92&gt;'B1 '!$G$27),0+(('B1 '!$H$27-'B1 '!$H$26)/('B1 '!$G$27-'B1 '!$G$26))*(F92-'B1 '!$G$26),0))</f>
        <v>0</v>
      </c>
      <c r="H92" s="611"/>
      <c r="I92" s="435">
        <v>80</v>
      </c>
      <c r="J92" s="435">
        <f>IF(I92&lt;='B1 '!$G$29,'B1 '!$H$29,IF(AND(I92&lt;='B1 '!$G$28,I92&gt;'B1 '!$G$29),0+(('B1 '!$H$29-'B1 '!$H$28)/('B1 '!$G$29-'B1 '!$G$28))*(I92-'B1 '!$G$28),0))</f>
        <v>100</v>
      </c>
      <c r="K92" s="611"/>
      <c r="L92" s="435">
        <v>8</v>
      </c>
      <c r="M92" s="435">
        <f>IF(L92&lt;='B1 '!$G$31,'B1 '!$H$31,IF(AND(L92&lt;='B1 '!$G$30,L92&gt;'B1 '!$G$31),0+(('B1 '!$H$31-'B1 '!$H$30)/('B1 '!$G$31-'B1 '!$G$30))*(L92-'B1 '!$G$30),0))</f>
        <v>135</v>
      </c>
      <c r="N92" s="415"/>
      <c r="O92" s="434"/>
      <c r="P92" s="612"/>
      <c r="Q92" s="436">
        <v>16</v>
      </c>
      <c r="R92" s="436">
        <f>IF(Q92&lt;='B1 '!$L$25,'B1 '!$M$25,IF(AND(Q92&lt;='B1 '!$L$24,Q92&gt;'B1 '!$L$25),0+(('B1 '!$M$25-'B1 '!$M$24)/('B1 '!$L$25-'B1 '!$L$24))*(Q92-'B1 '!$L$24),0))</f>
        <v>50</v>
      </c>
      <c r="S92" s="613"/>
      <c r="T92" s="436">
        <v>8</v>
      </c>
      <c r="U92" s="436">
        <f>IF(T92&lt;='B1 '!$L$27,'B1 '!$M$27,IF(AND(T92&lt;='B1 '!$L$26,T92&gt;'B1 '!$L$27),0+(('B1 '!$M$27-'B1 '!$M$26)/('B1 '!$L$27-'B1 '!$L$26))*(T92-'B1 '!$L$26),0))</f>
        <v>11.25</v>
      </c>
      <c r="V92" s="613"/>
      <c r="W92" s="436">
        <v>80</v>
      </c>
      <c r="X92" s="436">
        <f>IF(W92&lt;='B1 '!$L$29,'B1 '!$M$29,IF(AND(W92&lt;='B1 '!$L$28,W92&gt;'B1 '!$L$29),0+(('B1 '!$M$29-'B1 '!$M$28)/('B1 '!$L$29-'B1 '!$L$28))*(W92-'B1 '!$L$28),0))</f>
        <v>102.85714285714285</v>
      </c>
      <c r="Y92" s="613"/>
      <c r="Z92" s="436">
        <v>8</v>
      </c>
      <c r="AA92" s="436">
        <f>IF(Z92&lt;='B1 '!$L$31,'B1 '!$M$31,IF(AND(Z92&lt;='B1 '!$L$30,Z92&gt;'B1 '!$L$31),0+(('B1 '!$M$31-'B1 '!$M$30)/('B1 '!$L$31-'B1 '!$L$30))*(Z92-'B1 '!$L$30),0))</f>
        <v>135</v>
      </c>
      <c r="AB92" s="183"/>
    </row>
    <row r="93" spans="2:28">
      <c r="B93" s="182"/>
      <c r="C93" s="435">
        <v>42.5</v>
      </c>
      <c r="D93" s="435">
        <f>IF(C93&lt;='B1 '!$G$25,'B1 '!$H$25,IF(AND(C93&lt;='B1 '!$G$24,C93&gt;'B1 '!$G$25),0+(('B1 '!$H$25-'B1 '!$H$24)/('B1 '!$G$25-'B1 '!$G$24))*(C93-'B1 '!$G$24),0))</f>
        <v>4.166666666666667</v>
      </c>
      <c r="E93" s="611"/>
      <c r="F93" s="435">
        <v>8.5</v>
      </c>
      <c r="G93" s="435">
        <f>IF(F93&lt;='B1 '!$G$27,'B1 '!$H$27,IF(AND(F93&lt;='B1 '!$G$26,F93&gt;'B1 '!$G$27),0+(('B1 '!$H$27-'B1 '!$H$26)/('B1 '!$G$27-'B1 '!$G$26))*(F93-'B1 '!$G$26),0))</f>
        <v>0</v>
      </c>
      <c r="H93" s="611"/>
      <c r="I93" s="435">
        <v>85</v>
      </c>
      <c r="J93" s="435">
        <f>IF(I93&lt;='B1 '!$G$29,'B1 '!$H$29,IF(AND(I93&lt;='B1 '!$G$28,I93&gt;'B1 '!$G$29),0+(('B1 '!$H$29-'B1 '!$H$28)/('B1 '!$G$29-'B1 '!$G$28))*(I93-'B1 '!$G$28),0))</f>
        <v>95</v>
      </c>
      <c r="K93" s="611"/>
      <c r="L93" s="435">
        <v>8.5</v>
      </c>
      <c r="M93" s="435">
        <f>IF(L93&lt;='B1 '!$G$31,'B1 '!$H$31,IF(AND(L93&lt;='B1 '!$G$30,L93&gt;'B1 '!$G$31),0+(('B1 '!$H$31-'B1 '!$H$30)/('B1 '!$G$31-'B1 '!$G$30))*(L93-'B1 '!$G$30),0))</f>
        <v>135</v>
      </c>
      <c r="N93" s="415"/>
      <c r="O93" s="434"/>
      <c r="P93" s="612"/>
      <c r="Q93" s="436">
        <v>17</v>
      </c>
      <c r="R93" s="436">
        <f>IF(Q93&lt;='B1 '!$L$25,'B1 '!$M$25,IF(AND(Q93&lt;='B1 '!$L$24,Q93&gt;'B1 '!$L$25),0+(('B1 '!$M$25-'B1 '!$M$24)/('B1 '!$L$25-'B1 '!$L$24))*(Q93-'B1 '!$L$24),0))</f>
        <v>50</v>
      </c>
      <c r="S93" s="613"/>
      <c r="T93" s="436">
        <v>8.5</v>
      </c>
      <c r="U93" s="436">
        <f>IF(T93&lt;='B1 '!$L$27,'B1 '!$M$27,IF(AND(T93&lt;='B1 '!$L$26,T93&gt;'B1 '!$L$27),0+(('B1 '!$M$27-'B1 '!$M$26)/('B1 '!$L$27-'B1 '!$L$26))*(T93-'B1 '!$L$26),0))</f>
        <v>8.4375</v>
      </c>
      <c r="V93" s="613"/>
      <c r="W93" s="436">
        <v>85</v>
      </c>
      <c r="X93" s="436">
        <f>IF(W93&lt;='B1 '!$L$29,'B1 '!$M$29,IF(AND(W93&lt;='B1 '!$L$28,W93&gt;'B1 '!$L$29),0+(('B1 '!$M$29-'B1 '!$M$28)/('B1 '!$L$29-'B1 '!$L$28))*(W93-'B1 '!$L$28),0))</f>
        <v>98.571428571428569</v>
      </c>
      <c r="Y93" s="613"/>
      <c r="Z93" s="436">
        <v>8.5</v>
      </c>
      <c r="AA93" s="436">
        <f>IF(Z93&lt;='B1 '!$L$31,'B1 '!$M$31,IF(AND(Z93&lt;='B1 '!$L$30,Z93&gt;'B1 '!$L$31),0+(('B1 '!$M$31-'B1 '!$M$30)/('B1 '!$L$31-'B1 '!$L$30))*(Z93-'B1 '!$L$30),0))</f>
        <v>135</v>
      </c>
      <c r="AB93" s="183"/>
    </row>
    <row r="94" spans="2:28">
      <c r="B94" s="182"/>
      <c r="C94" s="435">
        <v>45</v>
      </c>
      <c r="D94" s="435">
        <f>IF(C94&lt;='B1 '!$G$25,'B1 '!$H$25,IF(AND(C94&lt;='B1 '!$G$24,C94&gt;'B1 '!$G$25),0+(('B1 '!$H$25-'B1 '!$H$24)/('B1 '!$G$25-'B1 '!$G$24))*(C94-'B1 '!$G$24),0))</f>
        <v>0</v>
      </c>
      <c r="E94" s="611"/>
      <c r="F94" s="435">
        <v>9</v>
      </c>
      <c r="G94" s="435">
        <f>IF(F94&lt;='B1 '!$G$27,'B1 '!$H$27,IF(AND(F94&lt;='B1 '!$G$26,F94&gt;'B1 '!$G$27),0+(('B1 '!$H$27-'B1 '!$H$26)/('B1 '!$G$27-'B1 '!$G$26))*(F94-'B1 '!$G$26),0))</f>
        <v>0</v>
      </c>
      <c r="H94" s="611"/>
      <c r="I94" s="435">
        <v>90</v>
      </c>
      <c r="J94" s="435">
        <f>IF(I94&lt;='B1 '!$G$29,'B1 '!$H$29,IF(AND(I94&lt;='B1 '!$G$28,I94&gt;'B1 '!$G$29),0+(('B1 '!$H$29-'B1 '!$H$28)/('B1 '!$G$29-'B1 '!$G$28))*(I94-'B1 '!$G$28),0))</f>
        <v>90</v>
      </c>
      <c r="K94" s="611"/>
      <c r="L94" s="435">
        <v>9</v>
      </c>
      <c r="M94" s="435">
        <f>IF(L94&lt;='B1 '!$G$31,'B1 '!$H$31,IF(AND(L94&lt;='B1 '!$G$30,L94&gt;'B1 '!$G$31),0+(('B1 '!$H$31-'B1 '!$H$30)/('B1 '!$G$31-'B1 '!$G$30))*(L94-'B1 '!$G$30),0))</f>
        <v>135</v>
      </c>
      <c r="N94" s="415"/>
      <c r="O94" s="434"/>
      <c r="P94" s="612"/>
      <c r="Q94" s="436">
        <v>18</v>
      </c>
      <c r="R94" s="436">
        <f>IF(Q94&lt;='B1 '!$L$25,'B1 '!$M$25,IF(AND(Q94&lt;='B1 '!$L$24,Q94&gt;'B1 '!$L$25),0+(('B1 '!$M$25-'B1 '!$M$24)/('B1 '!$L$25-'B1 '!$L$24))*(Q94-'B1 '!$L$24),0))</f>
        <v>50</v>
      </c>
      <c r="S94" s="613"/>
      <c r="T94" s="436">
        <v>9</v>
      </c>
      <c r="U94" s="436">
        <f>IF(T94&lt;='B1 '!$L$27,'B1 '!$M$27,IF(AND(T94&lt;='B1 '!$L$26,T94&gt;'B1 '!$L$27),0+(('B1 '!$M$27-'B1 '!$M$26)/('B1 '!$L$27-'B1 '!$L$26))*(T94-'B1 '!$L$26),0))</f>
        <v>5.625</v>
      </c>
      <c r="V94" s="613"/>
      <c r="W94" s="436">
        <v>90</v>
      </c>
      <c r="X94" s="436">
        <f>IF(W94&lt;='B1 '!$L$29,'B1 '!$M$29,IF(AND(W94&lt;='B1 '!$L$28,W94&gt;'B1 '!$L$29),0+(('B1 '!$M$29-'B1 '!$M$28)/('B1 '!$L$29-'B1 '!$L$28))*(W94-'B1 '!$L$28),0))</f>
        <v>94.285714285714278</v>
      </c>
      <c r="Y94" s="613"/>
      <c r="Z94" s="436">
        <v>9</v>
      </c>
      <c r="AA94" s="436">
        <f>IF(Z94&lt;='B1 '!$L$31,'B1 '!$M$31,IF(AND(Z94&lt;='B1 '!$L$30,Z94&gt;'B1 '!$L$31),0+(('B1 '!$M$31-'B1 '!$M$30)/('B1 '!$L$31-'B1 '!$L$30))*(Z94-'B1 '!$L$30),0))</f>
        <v>135</v>
      </c>
      <c r="AB94" s="183"/>
    </row>
    <row r="95" spans="2:28">
      <c r="B95" s="182"/>
      <c r="C95" s="435">
        <v>47.5</v>
      </c>
      <c r="D95" s="435">
        <f>IF(C95&lt;='B1 '!$G$25,'B1 '!$H$25,IF(AND(C95&lt;='B1 '!$G$24,C95&gt;'B1 '!$G$25),0+(('B1 '!$H$25-'B1 '!$H$24)/('B1 '!$G$25-'B1 '!$G$24))*(C95-'B1 '!$G$24),0))</f>
        <v>0</v>
      </c>
      <c r="E95" s="611"/>
      <c r="F95" s="435">
        <v>9.5</v>
      </c>
      <c r="G95" s="435">
        <f>IF(F95&lt;='B1 '!$G$27,'B1 '!$H$27,IF(AND(F95&lt;='B1 '!$G$26,F95&gt;'B1 '!$G$27),0+(('B1 '!$H$27-'B1 '!$H$26)/('B1 '!$G$27-'B1 '!$G$26))*(F95-'B1 '!$G$26),0))</f>
        <v>0</v>
      </c>
      <c r="H95" s="611"/>
      <c r="I95" s="435">
        <v>95</v>
      </c>
      <c r="J95" s="435">
        <f>IF(I95&lt;='B1 '!$G$29,'B1 '!$H$29,IF(AND(I95&lt;='B1 '!$G$28,I95&gt;'B1 '!$G$29),0+(('B1 '!$H$29-'B1 '!$H$28)/('B1 '!$G$29-'B1 '!$G$28))*(I95-'B1 '!$G$28),0))</f>
        <v>85</v>
      </c>
      <c r="K95" s="611"/>
      <c r="L95" s="435">
        <v>9.5</v>
      </c>
      <c r="M95" s="435">
        <f>IF(L95&lt;='B1 '!$G$31,'B1 '!$H$31,IF(AND(L95&lt;='B1 '!$G$30,L95&gt;'B1 '!$G$31),0+(('B1 '!$H$31-'B1 '!$H$30)/('B1 '!$G$31-'B1 '!$G$30))*(L95-'B1 '!$G$30),0))</f>
        <v>135</v>
      </c>
      <c r="N95" s="415"/>
      <c r="O95" s="434"/>
      <c r="P95" s="612"/>
      <c r="Q95" s="436">
        <v>19</v>
      </c>
      <c r="R95" s="436">
        <f>IF(Q95&lt;='B1 '!$L$25,'B1 '!$M$25,IF(AND(Q95&lt;='B1 '!$L$24,Q95&gt;'B1 '!$L$25),0+(('B1 '!$M$25-'B1 '!$M$24)/('B1 '!$L$25-'B1 '!$L$24))*(Q95-'B1 '!$L$24),0))</f>
        <v>50</v>
      </c>
      <c r="S95" s="613"/>
      <c r="T95" s="436">
        <v>9.5</v>
      </c>
      <c r="U95" s="436">
        <f>IF(T95&lt;='B1 '!$L$27,'B1 '!$M$27,IF(AND(T95&lt;='B1 '!$L$26,T95&gt;'B1 '!$L$27),0+(('B1 '!$M$27-'B1 '!$M$26)/('B1 '!$L$27-'B1 '!$L$26))*(T95-'B1 '!$L$26),0))</f>
        <v>2.8125</v>
      </c>
      <c r="V95" s="613"/>
      <c r="W95" s="436">
        <v>95</v>
      </c>
      <c r="X95" s="436">
        <f>IF(W95&lt;='B1 '!$L$29,'B1 '!$M$29,IF(AND(W95&lt;='B1 '!$L$28,W95&gt;'B1 '!$L$29),0+(('B1 '!$M$29-'B1 '!$M$28)/('B1 '!$L$29-'B1 '!$L$28))*(W95-'B1 '!$L$28),0))</f>
        <v>90</v>
      </c>
      <c r="Y95" s="613"/>
      <c r="Z95" s="436">
        <v>9.5</v>
      </c>
      <c r="AA95" s="436">
        <f>IF(Z95&lt;='B1 '!$L$31,'B1 '!$M$31,IF(AND(Z95&lt;='B1 '!$L$30,Z95&gt;'B1 '!$L$31),0+(('B1 '!$M$31-'B1 '!$M$30)/('B1 '!$L$31-'B1 '!$L$30))*(Z95-'B1 '!$L$30),0))</f>
        <v>135</v>
      </c>
      <c r="AB95" s="183"/>
    </row>
    <row r="96" spans="2:28">
      <c r="B96" s="182"/>
      <c r="C96" s="435">
        <v>50</v>
      </c>
      <c r="D96" s="435">
        <f>IF(C96&lt;='B1 '!$G$25,'B1 '!$H$25,IF(AND(C96&lt;='B1 '!$G$24,C96&gt;'B1 '!$G$25),0+(('B1 '!$H$25-'B1 '!$H$24)/('B1 '!$G$25-'B1 '!$G$24))*(C96-'B1 '!$G$24),0))</f>
        <v>0</v>
      </c>
      <c r="E96" s="611"/>
      <c r="F96" s="435">
        <v>10</v>
      </c>
      <c r="G96" s="435">
        <f>IF(F96&lt;='B1 '!$G$27,'B1 '!$H$27,IF(AND(F96&lt;='B1 '!$G$26,F96&gt;'B1 '!$G$27),0+(('B1 '!$H$27-'B1 '!$H$26)/('B1 '!$G$27-'B1 '!$G$26))*(F96-'B1 '!$G$26),0))</f>
        <v>0</v>
      </c>
      <c r="H96" s="611"/>
      <c r="I96" s="435">
        <v>100</v>
      </c>
      <c r="J96" s="435">
        <f>IF(I96&lt;='B1 '!$G$29,'B1 '!$H$29,IF(AND(I96&lt;='B1 '!$G$28,I96&gt;'B1 '!$G$29),0+(('B1 '!$H$29-'B1 '!$H$28)/('B1 '!$G$29-'B1 '!$G$28))*(I96-'B1 '!$G$28),0))</f>
        <v>80</v>
      </c>
      <c r="K96" s="611"/>
      <c r="L96" s="435">
        <v>10</v>
      </c>
      <c r="M96" s="435">
        <f>IF(L96&lt;='B1 '!$G$31,'B1 '!$H$31,IF(AND(L96&lt;='B1 '!$G$30,L96&gt;'B1 '!$G$31),0+(('B1 '!$H$31-'B1 '!$H$30)/('B1 '!$G$31-'B1 '!$G$30))*(L96-'B1 '!$G$30),0))</f>
        <v>135</v>
      </c>
      <c r="N96" s="415"/>
      <c r="O96" s="434"/>
      <c r="P96" s="612"/>
      <c r="Q96" s="436">
        <v>20</v>
      </c>
      <c r="R96" s="436">
        <f>IF(Q96&lt;='B1 '!$L$25,'B1 '!$M$25,IF(AND(Q96&lt;='B1 '!$L$24,Q96&gt;'B1 '!$L$25),0+(('B1 '!$M$25-'B1 '!$M$24)/('B1 '!$L$25-'B1 '!$L$24))*(Q96-'B1 '!$L$24),0))</f>
        <v>50</v>
      </c>
      <c r="S96" s="613"/>
      <c r="T96" s="436">
        <v>10</v>
      </c>
      <c r="U96" s="436">
        <f>IF(T96&lt;='B1 '!$L$27,'B1 '!$M$27,IF(AND(T96&lt;='B1 '!$L$26,T96&gt;'B1 '!$L$27),0+(('B1 '!$M$27-'B1 '!$M$26)/('B1 '!$L$27-'B1 '!$L$26))*(T96-'B1 '!$L$26),0))</f>
        <v>0</v>
      </c>
      <c r="V96" s="613"/>
      <c r="W96" s="436">
        <v>100</v>
      </c>
      <c r="X96" s="436">
        <f>IF(W96&lt;='B1 '!$L$29,'B1 '!$M$29,IF(AND(W96&lt;='B1 '!$L$28,W96&gt;'B1 '!$L$29),0+(('B1 '!$M$29-'B1 '!$M$28)/('B1 '!$L$29-'B1 '!$L$28))*(W96-'B1 '!$L$28),0))</f>
        <v>85.714285714285708</v>
      </c>
      <c r="Y96" s="613"/>
      <c r="Z96" s="436">
        <v>10</v>
      </c>
      <c r="AA96" s="436">
        <f>IF(Z96&lt;='B1 '!$L$31,'B1 '!$M$31,IF(AND(Z96&lt;='B1 '!$L$30,Z96&gt;'B1 '!$L$31),0+(('B1 '!$M$31-'B1 '!$M$30)/('B1 '!$L$31-'B1 '!$L$30))*(Z96-'B1 '!$L$30),0))</f>
        <v>135</v>
      </c>
      <c r="AB96" s="183"/>
    </row>
    <row r="97" spans="2:28">
      <c r="B97" s="182"/>
      <c r="C97" s="435">
        <v>52.5</v>
      </c>
      <c r="D97" s="435">
        <f>IF(C97&lt;='B1 '!$G$25,'B1 '!$H$25,IF(AND(C97&lt;='B1 '!$G$24,C97&gt;'B1 '!$G$25),0+(('B1 '!$H$25-'B1 '!$H$24)/('B1 '!$G$25-'B1 '!$G$24))*(C97-'B1 '!$G$24),0))</f>
        <v>0</v>
      </c>
      <c r="E97" s="611"/>
      <c r="F97" s="435">
        <v>10.5</v>
      </c>
      <c r="G97" s="435">
        <f>IF(F97&lt;='B1 '!$G$27,'B1 '!$H$27,IF(AND(F97&lt;='B1 '!$G$26,F97&gt;'B1 '!$G$27),0+(('B1 '!$H$27-'B1 '!$H$26)/('B1 '!$G$27-'B1 '!$G$26))*(F97-'B1 '!$G$26),0))</f>
        <v>0</v>
      </c>
      <c r="H97" s="611"/>
      <c r="I97" s="435">
        <v>105</v>
      </c>
      <c r="J97" s="435">
        <f>IF(I97&lt;='B1 '!$G$29,'B1 '!$H$29,IF(AND(I97&lt;='B1 '!$G$28,I97&gt;'B1 '!$G$29),0+(('B1 '!$H$29-'B1 '!$H$28)/('B1 '!$G$29-'B1 '!$G$28))*(I97-'B1 '!$G$28),0))</f>
        <v>75</v>
      </c>
      <c r="K97" s="611"/>
      <c r="L97" s="435">
        <v>10.5</v>
      </c>
      <c r="M97" s="435">
        <f>IF(L97&lt;='B1 '!$G$31,'B1 '!$H$31,IF(AND(L97&lt;='B1 '!$G$30,L97&gt;'B1 '!$G$31),0+(('B1 '!$H$31-'B1 '!$H$30)/('B1 '!$G$31-'B1 '!$G$30))*(L97-'B1 '!$G$30),0))</f>
        <v>135</v>
      </c>
      <c r="N97" s="415"/>
      <c r="O97" s="434"/>
      <c r="P97" s="612"/>
      <c r="Q97" s="436">
        <v>21</v>
      </c>
      <c r="R97" s="436">
        <f>IF(Q97&lt;='B1 '!$L$25,'B1 '!$M$25,IF(AND(Q97&lt;='B1 '!$L$24,Q97&gt;'B1 '!$L$25),0+(('B1 '!$M$25-'B1 '!$M$24)/('B1 '!$L$25-'B1 '!$L$24))*(Q97-'B1 '!$L$24),0))</f>
        <v>50</v>
      </c>
      <c r="S97" s="613"/>
      <c r="T97" s="436">
        <v>10.5</v>
      </c>
      <c r="U97" s="436">
        <f>IF(T97&lt;='B1 '!$L$27,'B1 '!$M$27,IF(AND(T97&lt;='B1 '!$L$26,T97&gt;'B1 '!$L$27),0+(('B1 '!$M$27-'B1 '!$M$26)/('B1 '!$L$27-'B1 '!$L$26))*(T97-'B1 '!$L$26),0))</f>
        <v>0</v>
      </c>
      <c r="V97" s="613"/>
      <c r="W97" s="436">
        <v>105</v>
      </c>
      <c r="X97" s="436">
        <f>IF(W97&lt;='B1 '!$L$29,'B1 '!$M$29,IF(AND(W97&lt;='B1 '!$L$28,W97&gt;'B1 '!$L$29),0+(('B1 '!$M$29-'B1 '!$M$28)/('B1 '!$L$29-'B1 '!$L$28))*(W97-'B1 '!$L$28),0))</f>
        <v>81.428571428571431</v>
      </c>
      <c r="Y97" s="613"/>
      <c r="Z97" s="436">
        <v>10.5</v>
      </c>
      <c r="AA97" s="436">
        <f>IF(Z97&lt;='B1 '!$L$31,'B1 '!$M$31,IF(AND(Z97&lt;='B1 '!$L$30,Z97&gt;'B1 '!$L$31),0+(('B1 '!$M$31-'B1 '!$M$30)/('B1 '!$L$31-'B1 '!$L$30))*(Z97-'B1 '!$L$30),0))</f>
        <v>135</v>
      </c>
      <c r="AB97" s="183"/>
    </row>
    <row r="98" spans="2:28">
      <c r="B98" s="182"/>
      <c r="C98" s="435">
        <v>55</v>
      </c>
      <c r="D98" s="435">
        <f>IF(C98&lt;='B1 '!$G$25,'B1 '!$H$25,IF(AND(C98&lt;='B1 '!$G$24,C98&gt;'B1 '!$G$25),0+(('B1 '!$H$25-'B1 '!$H$24)/('B1 '!$G$25-'B1 '!$G$24))*(C98-'B1 '!$G$24),0))</f>
        <v>0</v>
      </c>
      <c r="E98" s="611"/>
      <c r="F98" s="435">
        <v>11</v>
      </c>
      <c r="G98" s="435">
        <f>IF(F98&lt;='B1 '!$G$27,'B1 '!$H$27,IF(AND(F98&lt;='B1 '!$G$26,F98&gt;'B1 '!$G$27),0+(('B1 '!$H$27-'B1 '!$H$26)/('B1 '!$G$27-'B1 '!$G$26))*(F98-'B1 '!$G$26),0))</f>
        <v>0</v>
      </c>
      <c r="H98" s="611"/>
      <c r="I98" s="435">
        <v>110</v>
      </c>
      <c r="J98" s="435">
        <f>IF(I98&lt;='B1 '!$G$29,'B1 '!$H$29,IF(AND(I98&lt;='B1 '!$G$28,I98&gt;'B1 '!$G$29),0+(('B1 '!$H$29-'B1 '!$H$28)/('B1 '!$G$29-'B1 '!$G$28))*(I98-'B1 '!$G$28),0))</f>
        <v>70</v>
      </c>
      <c r="K98" s="611"/>
      <c r="L98" s="435">
        <v>11</v>
      </c>
      <c r="M98" s="435">
        <f>IF(L98&lt;='B1 '!$G$31,'B1 '!$H$31,IF(AND(L98&lt;='B1 '!$G$30,L98&gt;'B1 '!$G$31),0+(('B1 '!$H$31-'B1 '!$H$30)/('B1 '!$G$31-'B1 '!$G$30))*(L98-'B1 '!$G$30),0))</f>
        <v>135</v>
      </c>
      <c r="N98" s="415"/>
      <c r="O98" s="434"/>
      <c r="P98" s="612"/>
      <c r="Q98" s="436">
        <v>22</v>
      </c>
      <c r="R98" s="436">
        <f>IF(Q98&lt;='B1 '!$L$25,'B1 '!$M$25,IF(AND(Q98&lt;='B1 '!$L$24,Q98&gt;'B1 '!$L$25),0+(('B1 '!$M$25-'B1 '!$M$24)/('B1 '!$L$25-'B1 '!$L$24))*(Q98-'B1 '!$L$24),0))</f>
        <v>50</v>
      </c>
      <c r="S98" s="613"/>
      <c r="T98" s="436">
        <v>11</v>
      </c>
      <c r="U98" s="436">
        <f>IF(T98&lt;='B1 '!$L$27,'B1 '!$M$27,IF(AND(T98&lt;='B1 '!$L$26,T98&gt;'B1 '!$L$27),0+(('B1 '!$M$27-'B1 '!$M$26)/('B1 '!$L$27-'B1 '!$L$26))*(T98-'B1 '!$L$26),0))</f>
        <v>0</v>
      </c>
      <c r="V98" s="613"/>
      <c r="W98" s="436">
        <v>110</v>
      </c>
      <c r="X98" s="436">
        <f>IF(W98&lt;='B1 '!$L$29,'B1 '!$M$29,IF(AND(W98&lt;='B1 '!$L$28,W98&gt;'B1 '!$L$29),0+(('B1 '!$M$29-'B1 '!$M$28)/('B1 '!$L$29-'B1 '!$L$28))*(W98-'B1 '!$L$28),0))</f>
        <v>77.142857142857139</v>
      </c>
      <c r="Y98" s="613"/>
      <c r="Z98" s="436">
        <v>11</v>
      </c>
      <c r="AA98" s="436">
        <f>IF(Z98&lt;='B1 '!$L$31,'B1 '!$M$31,IF(AND(Z98&lt;='B1 '!$L$30,Z98&gt;'B1 '!$L$31),0+(('B1 '!$M$31-'B1 '!$M$30)/('B1 '!$L$31-'B1 '!$L$30))*(Z98-'B1 '!$L$30),0))</f>
        <v>135</v>
      </c>
      <c r="AB98" s="183"/>
    </row>
    <row r="99" spans="2:28">
      <c r="B99" s="182"/>
      <c r="C99" s="435">
        <v>57.5</v>
      </c>
      <c r="D99" s="435">
        <f>IF(C99&lt;='B1 '!$G$25,'B1 '!$H$25,IF(AND(C99&lt;='B1 '!$G$24,C99&gt;'B1 '!$G$25),0+(('B1 '!$H$25-'B1 '!$H$24)/('B1 '!$G$25-'B1 '!$G$24))*(C99-'B1 '!$G$24),0))</f>
        <v>0</v>
      </c>
      <c r="E99" s="611"/>
      <c r="F99" s="435">
        <v>11.5</v>
      </c>
      <c r="G99" s="435">
        <f>IF(F99&lt;='B1 '!$G$27,'B1 '!$H$27,IF(AND(F99&lt;='B1 '!$G$26,F99&gt;'B1 '!$G$27),0+(('B1 '!$H$27-'B1 '!$H$26)/('B1 '!$G$27-'B1 '!$G$26))*(F99-'B1 '!$G$26),0))</f>
        <v>0</v>
      </c>
      <c r="H99" s="611"/>
      <c r="I99" s="435">
        <v>115</v>
      </c>
      <c r="J99" s="435">
        <f>IF(I99&lt;='B1 '!$G$29,'B1 '!$H$29,IF(AND(I99&lt;='B1 '!$G$28,I99&gt;'B1 '!$G$29),0+(('B1 '!$H$29-'B1 '!$H$28)/('B1 '!$G$29-'B1 '!$G$28))*(I99-'B1 '!$G$28),0))</f>
        <v>65</v>
      </c>
      <c r="K99" s="611"/>
      <c r="L99" s="435">
        <v>11.5</v>
      </c>
      <c r="M99" s="435">
        <f>IF(L99&lt;='B1 '!$G$31,'B1 '!$H$31,IF(AND(L99&lt;='B1 '!$G$30,L99&gt;'B1 '!$G$31),0+(('B1 '!$H$31-'B1 '!$H$30)/('B1 '!$G$31-'B1 '!$G$30))*(L99-'B1 '!$G$30),0))</f>
        <v>135</v>
      </c>
      <c r="N99" s="415"/>
      <c r="O99" s="434"/>
      <c r="P99" s="612"/>
      <c r="Q99" s="436">
        <v>23</v>
      </c>
      <c r="R99" s="436">
        <f>IF(Q99&lt;='B1 '!$L$25,'B1 '!$M$25,IF(AND(Q99&lt;='B1 '!$L$24,Q99&gt;'B1 '!$L$25),0+(('B1 '!$M$25-'B1 '!$M$24)/('B1 '!$L$25-'B1 '!$L$24))*(Q99-'B1 '!$L$24),0))</f>
        <v>50</v>
      </c>
      <c r="S99" s="613"/>
      <c r="T99" s="436">
        <v>11.5</v>
      </c>
      <c r="U99" s="436">
        <f>IF(T99&lt;='B1 '!$L$27,'B1 '!$M$27,IF(AND(T99&lt;='B1 '!$L$26,T99&gt;'B1 '!$L$27),0+(('B1 '!$M$27-'B1 '!$M$26)/('B1 '!$L$27-'B1 '!$L$26))*(T99-'B1 '!$L$26),0))</f>
        <v>0</v>
      </c>
      <c r="V99" s="613"/>
      <c r="W99" s="436">
        <v>115</v>
      </c>
      <c r="X99" s="436">
        <f>IF(W99&lt;='B1 '!$L$29,'B1 '!$M$29,IF(AND(W99&lt;='B1 '!$L$28,W99&gt;'B1 '!$L$29),0+(('B1 '!$M$29-'B1 '!$M$28)/('B1 '!$L$29-'B1 '!$L$28))*(W99-'B1 '!$L$28),0))</f>
        <v>72.857142857142847</v>
      </c>
      <c r="Y99" s="613"/>
      <c r="Z99" s="436">
        <v>11.5</v>
      </c>
      <c r="AA99" s="436">
        <f>IF(Z99&lt;='B1 '!$L$31,'B1 '!$M$31,IF(AND(Z99&lt;='B1 '!$L$30,Z99&gt;'B1 '!$L$31),0+(('B1 '!$M$31-'B1 '!$M$30)/('B1 '!$L$31-'B1 '!$L$30))*(Z99-'B1 '!$L$30),0))</f>
        <v>135</v>
      </c>
      <c r="AB99" s="183"/>
    </row>
    <row r="100" spans="2:28">
      <c r="B100" s="182"/>
      <c r="C100" s="435">
        <v>60</v>
      </c>
      <c r="D100" s="435">
        <f>IF(C100&lt;='B1 '!$G$25,'B1 '!$H$25,IF(AND(C100&lt;='B1 '!$G$24,C100&gt;'B1 '!$G$25),0+(('B1 '!$H$25-'B1 '!$H$24)/('B1 '!$G$25-'B1 '!$G$24))*(C100-'B1 '!$G$24),0))</f>
        <v>0</v>
      </c>
      <c r="E100" s="611"/>
      <c r="F100" s="435">
        <v>12</v>
      </c>
      <c r="G100" s="435">
        <f>IF(F100&lt;='B1 '!$G$27,'B1 '!$H$27,IF(AND(F100&lt;='B1 '!$G$26,F100&gt;'B1 '!$G$27),0+(('B1 '!$H$27-'B1 '!$H$26)/('B1 '!$G$27-'B1 '!$G$26))*(F100-'B1 '!$G$26),0))</f>
        <v>0</v>
      </c>
      <c r="H100" s="611"/>
      <c r="I100" s="435">
        <v>120</v>
      </c>
      <c r="J100" s="435">
        <f>IF(I100&lt;='B1 '!$G$29,'B1 '!$H$29,IF(AND(I100&lt;='B1 '!$G$28,I100&gt;'B1 '!$G$29),0+(('B1 '!$H$29-'B1 '!$H$28)/('B1 '!$G$29-'B1 '!$G$28))*(I100-'B1 '!$G$28),0))</f>
        <v>60</v>
      </c>
      <c r="K100" s="611"/>
      <c r="L100" s="435">
        <v>12</v>
      </c>
      <c r="M100" s="435">
        <f>IF(L100&lt;='B1 '!$G$31,'B1 '!$H$31,IF(AND(L100&lt;='B1 '!$G$30,L100&gt;'B1 '!$G$31),0+(('B1 '!$H$31-'B1 '!$H$30)/('B1 '!$G$31-'B1 '!$G$30))*(L100-'B1 '!$G$30),0))</f>
        <v>135</v>
      </c>
      <c r="N100" s="415"/>
      <c r="O100" s="434"/>
      <c r="P100" s="612"/>
      <c r="Q100" s="436">
        <v>24</v>
      </c>
      <c r="R100" s="436">
        <f>IF(Q100&lt;='B1 '!$L$25,'B1 '!$M$25,IF(AND(Q100&lt;='B1 '!$L$24,Q100&gt;'B1 '!$L$25),0+(('B1 '!$M$25-'B1 '!$M$24)/('B1 '!$L$25-'B1 '!$L$24))*(Q100-'B1 '!$L$24),0))</f>
        <v>50</v>
      </c>
      <c r="S100" s="613"/>
      <c r="T100" s="436">
        <v>12</v>
      </c>
      <c r="U100" s="436">
        <f>IF(T100&lt;='B1 '!$L$27,'B1 '!$M$27,IF(AND(T100&lt;='B1 '!$L$26,T100&gt;'B1 '!$L$27),0+(('B1 '!$M$27-'B1 '!$M$26)/('B1 '!$L$27-'B1 '!$L$26))*(T100-'B1 '!$L$26),0))</f>
        <v>0</v>
      </c>
      <c r="V100" s="613"/>
      <c r="W100" s="436">
        <v>120</v>
      </c>
      <c r="X100" s="436">
        <f>IF(W100&lt;='B1 '!$L$29,'B1 '!$M$29,IF(AND(W100&lt;='B1 '!$L$28,W100&gt;'B1 '!$L$29),0+(('B1 '!$M$29-'B1 '!$M$28)/('B1 '!$L$29-'B1 '!$L$28))*(W100-'B1 '!$L$28),0))</f>
        <v>68.571428571428569</v>
      </c>
      <c r="Y100" s="613"/>
      <c r="Z100" s="436">
        <v>12</v>
      </c>
      <c r="AA100" s="436">
        <f>IF(Z100&lt;='B1 '!$L$31,'B1 '!$M$31,IF(AND(Z100&lt;='B1 '!$L$30,Z100&gt;'B1 '!$L$31),0+(('B1 '!$M$31-'B1 '!$M$30)/('B1 '!$L$31-'B1 '!$L$30))*(Z100-'B1 '!$L$30),0))</f>
        <v>135</v>
      </c>
      <c r="AB100" s="183"/>
    </row>
    <row r="101" spans="2:28">
      <c r="B101" s="182"/>
      <c r="C101" s="435">
        <v>62.5</v>
      </c>
      <c r="D101" s="435">
        <f>IF(C101&lt;='B1 '!$G$25,'B1 '!$H$25,IF(AND(C101&lt;='B1 '!$G$24,C101&gt;'B1 '!$G$25),0+(('B1 '!$H$25-'B1 '!$H$24)/('B1 '!$G$25-'B1 '!$G$24))*(C101-'B1 '!$G$24),0))</f>
        <v>0</v>
      </c>
      <c r="E101" s="611"/>
      <c r="F101" s="435"/>
      <c r="G101" s="435"/>
      <c r="H101" s="611"/>
      <c r="I101" s="435">
        <v>125</v>
      </c>
      <c r="J101" s="435">
        <f>IF(I101&lt;='B1 '!$G$29,'B1 '!$H$29,IF(AND(I101&lt;='B1 '!$G$28,I101&gt;'B1 '!$G$29),0+(('B1 '!$H$29-'B1 '!$H$28)/('B1 '!$G$29-'B1 '!$G$28))*(I101-'B1 '!$G$28),0))</f>
        <v>55</v>
      </c>
      <c r="K101" s="611"/>
      <c r="L101" s="435">
        <v>12.5</v>
      </c>
      <c r="M101" s="435">
        <f>IF(L101&lt;='B1 '!$G$31,'B1 '!$H$31,IF(AND(L101&lt;='B1 '!$G$30,L101&gt;'B1 '!$G$31),0+(('B1 '!$H$31-'B1 '!$H$30)/('B1 '!$G$31-'B1 '!$G$30))*(L101-'B1 '!$G$30),0))</f>
        <v>135</v>
      </c>
      <c r="N101" s="415"/>
      <c r="O101" s="434"/>
      <c r="P101" s="612"/>
      <c r="Q101" s="436">
        <v>25</v>
      </c>
      <c r="R101" s="436">
        <f>IF(Q101&lt;='B1 '!$L$25,'B1 '!$M$25,IF(AND(Q101&lt;='B1 '!$L$24,Q101&gt;'B1 '!$L$25),0+(('B1 '!$M$25-'B1 '!$M$24)/('B1 '!$L$25-'B1 '!$L$24))*(Q101-'B1 '!$L$24),0))</f>
        <v>50</v>
      </c>
      <c r="S101" s="613"/>
      <c r="T101" s="436"/>
      <c r="U101" s="436"/>
      <c r="V101" s="613"/>
      <c r="W101" s="436">
        <v>125</v>
      </c>
      <c r="X101" s="436">
        <f>IF(W101&lt;='B1 '!$L$29,'B1 '!$M$29,IF(AND(W101&lt;='B1 '!$L$28,W101&gt;'B1 '!$L$29),0+(('B1 '!$M$29-'B1 '!$M$28)/('B1 '!$L$29-'B1 '!$L$28))*(W101-'B1 '!$L$28),0))</f>
        <v>64.285714285714278</v>
      </c>
      <c r="Y101" s="613"/>
      <c r="Z101" s="436">
        <v>12.5</v>
      </c>
      <c r="AA101" s="436">
        <f>IF(Z101&lt;='B1 '!$L$31,'B1 '!$M$31,IF(AND(Z101&lt;='B1 '!$L$30,Z101&gt;'B1 '!$L$31),0+(('B1 '!$M$31-'B1 '!$M$30)/('B1 '!$L$31-'B1 '!$L$30))*(Z101-'B1 '!$L$30),0))</f>
        <v>135</v>
      </c>
      <c r="AB101" s="183"/>
    </row>
    <row r="102" spans="2:28">
      <c r="B102" s="182"/>
      <c r="C102" s="435">
        <v>65</v>
      </c>
      <c r="D102" s="435">
        <f>IF(C102&lt;='B1 '!$G$25,'B1 '!$H$25,IF(AND(C102&lt;='B1 '!$G$24,C102&gt;'B1 '!$G$25),0+(('B1 '!$H$25-'B1 '!$H$24)/('B1 '!$G$25-'B1 '!$G$24))*(C102-'B1 '!$G$24),0))</f>
        <v>0</v>
      </c>
      <c r="E102" s="611"/>
      <c r="F102" s="435"/>
      <c r="G102" s="435"/>
      <c r="H102" s="611"/>
      <c r="I102" s="435">
        <v>130</v>
      </c>
      <c r="J102" s="435">
        <f>IF(I102&lt;='B1 '!$G$29,'B1 '!$H$29,IF(AND(I102&lt;='B1 '!$G$28,I102&gt;'B1 '!$G$29),0+(('B1 '!$H$29-'B1 '!$H$28)/('B1 '!$G$29-'B1 '!$G$28))*(I102-'B1 '!$G$28),0))</f>
        <v>50</v>
      </c>
      <c r="K102" s="611"/>
      <c r="L102" s="435">
        <v>13</v>
      </c>
      <c r="M102" s="435">
        <f>IF(L102&lt;='B1 '!$G$31,'B1 '!$H$31,IF(AND(L102&lt;='B1 '!$G$30,L102&gt;'B1 '!$G$31),0+(('B1 '!$H$31-'B1 '!$H$30)/('B1 '!$G$31-'B1 '!$G$30))*(L102-'B1 '!$G$30),0))</f>
        <v>135</v>
      </c>
      <c r="N102" s="415"/>
      <c r="O102" s="434"/>
      <c r="P102" s="612"/>
      <c r="Q102" s="436">
        <v>26</v>
      </c>
      <c r="R102" s="436">
        <f>IF(Q102&lt;='B1 '!$L$25,'B1 '!$M$25,IF(AND(Q102&lt;='B1 '!$L$24,Q102&gt;'B1 '!$L$25),0+(('B1 '!$M$25-'B1 '!$M$24)/('B1 '!$L$25-'B1 '!$L$24))*(Q102-'B1 '!$L$24),0))</f>
        <v>48.484848484848484</v>
      </c>
      <c r="S102" s="613"/>
      <c r="T102" s="436"/>
      <c r="U102" s="436"/>
      <c r="V102" s="613"/>
      <c r="W102" s="436">
        <v>130</v>
      </c>
      <c r="X102" s="436">
        <f>IF(W102&lt;='B1 '!$L$29,'B1 '!$M$29,IF(AND(W102&lt;='B1 '!$L$28,W102&gt;'B1 '!$L$29),0+(('B1 '!$M$29-'B1 '!$M$28)/('B1 '!$L$29-'B1 '!$L$28))*(W102-'B1 '!$L$28),0))</f>
        <v>60</v>
      </c>
      <c r="Y102" s="613"/>
      <c r="Z102" s="436">
        <v>13</v>
      </c>
      <c r="AA102" s="436">
        <f>IF(Z102&lt;='B1 '!$L$31,'B1 '!$M$31,IF(AND(Z102&lt;='B1 '!$L$30,Z102&gt;'B1 '!$L$31),0+(('B1 '!$M$31-'B1 '!$M$30)/('B1 '!$L$31-'B1 '!$L$30))*(Z102-'B1 '!$L$30),0))</f>
        <v>135</v>
      </c>
      <c r="AB102" s="183"/>
    </row>
    <row r="103" spans="2:28">
      <c r="B103" s="182"/>
      <c r="C103" s="435"/>
      <c r="D103" s="435"/>
      <c r="E103" s="611"/>
      <c r="F103" s="435"/>
      <c r="G103" s="435"/>
      <c r="H103" s="611"/>
      <c r="I103" s="435">
        <v>135</v>
      </c>
      <c r="J103" s="435">
        <f>IF(I103&lt;='B1 '!$G$29,'B1 '!$H$29,IF(AND(I103&lt;='B1 '!$G$28,I103&gt;'B1 '!$G$29),0+(('B1 '!$H$29-'B1 '!$H$28)/('B1 '!$G$29-'B1 '!$G$28))*(I103-'B1 '!$G$28),0))</f>
        <v>45</v>
      </c>
      <c r="K103" s="611"/>
      <c r="L103" s="435">
        <v>13.5</v>
      </c>
      <c r="M103" s="435">
        <f>IF(L103&lt;='B1 '!$G$31,'B1 '!$H$31,IF(AND(L103&lt;='B1 '!$G$30,L103&gt;'B1 '!$G$31),0+(('B1 '!$H$31-'B1 '!$H$30)/('B1 '!$G$31-'B1 '!$G$30))*(L103-'B1 '!$G$30),0))</f>
        <v>135</v>
      </c>
      <c r="N103" s="415"/>
      <c r="O103" s="434"/>
      <c r="P103" s="612"/>
      <c r="Q103" s="436">
        <v>27</v>
      </c>
      <c r="R103" s="436">
        <f>IF(Q103&lt;='B1 '!$L$25,'B1 '!$M$25,IF(AND(Q103&lt;='B1 '!$L$24,Q103&gt;'B1 '!$L$25),0+(('B1 '!$M$25-'B1 '!$M$24)/('B1 '!$L$25-'B1 '!$L$24))*(Q103-'B1 '!$L$24),0))</f>
        <v>46.969696969696969</v>
      </c>
      <c r="S103" s="613"/>
      <c r="T103" s="436"/>
      <c r="U103" s="436"/>
      <c r="V103" s="613"/>
      <c r="W103" s="436">
        <v>135</v>
      </c>
      <c r="X103" s="436">
        <f>IF(W103&lt;='B1 '!$L$29,'B1 '!$M$29,IF(AND(W103&lt;='B1 '!$L$28,W103&gt;'B1 '!$L$29),0+(('B1 '!$M$29-'B1 '!$M$28)/('B1 '!$L$29-'B1 '!$L$28))*(W103-'B1 '!$L$28),0))</f>
        <v>55.714285714285708</v>
      </c>
      <c r="Y103" s="613"/>
      <c r="Z103" s="436">
        <v>13.5</v>
      </c>
      <c r="AA103" s="436">
        <f>IF(Z103&lt;='B1 '!$L$31,'B1 '!$M$31,IF(AND(Z103&lt;='B1 '!$L$30,Z103&gt;'B1 '!$L$31),0+(('B1 '!$M$31-'B1 '!$M$30)/('B1 '!$L$31-'B1 '!$L$30))*(Z103-'B1 '!$L$30),0))</f>
        <v>135</v>
      </c>
      <c r="AB103" s="183"/>
    </row>
    <row r="104" spans="2:28">
      <c r="B104" s="182"/>
      <c r="C104" s="435"/>
      <c r="D104" s="435"/>
      <c r="E104" s="611"/>
      <c r="F104" s="435"/>
      <c r="G104" s="435"/>
      <c r="H104" s="611"/>
      <c r="I104" s="435">
        <v>140</v>
      </c>
      <c r="J104" s="435">
        <f>IF(I104&lt;='B1 '!$G$29,'B1 '!$H$29,IF(AND(I104&lt;='B1 '!$G$28,I104&gt;'B1 '!$G$29),0+(('B1 '!$H$29-'B1 '!$H$28)/('B1 '!$G$29-'B1 '!$G$28))*(I104-'B1 '!$G$28),0))</f>
        <v>40</v>
      </c>
      <c r="K104" s="611"/>
      <c r="L104" s="435">
        <v>14</v>
      </c>
      <c r="M104" s="435">
        <f>IF(L104&lt;='B1 '!$G$31,'B1 '!$H$31,IF(AND(L104&lt;='B1 '!$G$30,L104&gt;'B1 '!$G$31),0+(('B1 '!$H$31-'B1 '!$H$30)/('B1 '!$G$31-'B1 '!$G$30))*(L104-'B1 '!$G$30),0))</f>
        <v>135</v>
      </c>
      <c r="N104" s="415"/>
      <c r="O104" s="434"/>
      <c r="P104" s="612"/>
      <c r="Q104" s="436">
        <v>28</v>
      </c>
      <c r="R104" s="436">
        <f>IF(Q104&lt;='B1 '!$L$25,'B1 '!$M$25,IF(AND(Q104&lt;='B1 '!$L$24,Q104&gt;'B1 '!$L$25),0+(('B1 '!$M$25-'B1 '!$M$24)/('B1 '!$L$25-'B1 '!$L$24))*(Q104-'B1 '!$L$24),0))</f>
        <v>45.454545454545453</v>
      </c>
      <c r="S104" s="613"/>
      <c r="T104" s="436"/>
      <c r="U104" s="436"/>
      <c r="V104" s="613"/>
      <c r="W104" s="436">
        <v>140</v>
      </c>
      <c r="X104" s="436">
        <f>IF(W104&lt;='B1 '!$L$29,'B1 '!$M$29,IF(AND(W104&lt;='B1 '!$L$28,W104&gt;'B1 '!$L$29),0+(('B1 '!$M$29-'B1 '!$M$28)/('B1 '!$L$29-'B1 '!$L$28))*(W104-'B1 '!$L$28),0))</f>
        <v>51.428571428571423</v>
      </c>
      <c r="Y104" s="613"/>
      <c r="Z104" s="436">
        <v>14</v>
      </c>
      <c r="AA104" s="436">
        <f>IF(Z104&lt;='B1 '!$L$31,'B1 '!$M$31,IF(AND(Z104&lt;='B1 '!$L$30,Z104&gt;'B1 '!$L$31),0+(('B1 '!$M$31-'B1 '!$M$30)/('B1 '!$L$31-'B1 '!$L$30))*(Z104-'B1 '!$L$30),0))</f>
        <v>135</v>
      </c>
      <c r="AB104" s="183"/>
    </row>
    <row r="105" spans="2:28">
      <c r="B105" s="182"/>
      <c r="C105" s="435"/>
      <c r="D105" s="435"/>
      <c r="E105" s="611"/>
      <c r="F105" s="435"/>
      <c r="G105" s="435"/>
      <c r="H105" s="611"/>
      <c r="I105" s="435">
        <v>145</v>
      </c>
      <c r="J105" s="435">
        <f>IF(I105&lt;='B1 '!$G$29,'B1 '!$H$29,IF(AND(I105&lt;='B1 '!$G$28,I105&gt;'B1 '!$G$29),0+(('B1 '!$H$29-'B1 '!$H$28)/('B1 '!$G$29-'B1 '!$G$28))*(I105-'B1 '!$G$28),0))</f>
        <v>35</v>
      </c>
      <c r="K105" s="611"/>
      <c r="L105" s="435">
        <v>14.5</v>
      </c>
      <c r="M105" s="435">
        <f>IF(L105&lt;='B1 '!$G$31,'B1 '!$H$31,IF(AND(L105&lt;='B1 '!$G$30,L105&gt;'B1 '!$G$31),0+(('B1 '!$H$31-'B1 '!$H$30)/('B1 '!$G$31-'B1 '!$G$30))*(L105-'B1 '!$G$30),0))</f>
        <v>135</v>
      </c>
      <c r="N105" s="415"/>
      <c r="O105" s="434"/>
      <c r="P105" s="612"/>
      <c r="Q105" s="436">
        <v>29</v>
      </c>
      <c r="R105" s="436">
        <f>IF(Q105&lt;='B1 '!$L$25,'B1 '!$M$25,IF(AND(Q105&lt;='B1 '!$L$24,Q105&gt;'B1 '!$L$25),0+(('B1 '!$M$25-'B1 '!$M$24)/('B1 '!$L$25-'B1 '!$L$24))*(Q105-'B1 '!$L$24),0))</f>
        <v>43.939393939393938</v>
      </c>
      <c r="S105" s="613"/>
      <c r="T105" s="436"/>
      <c r="U105" s="436"/>
      <c r="V105" s="613"/>
      <c r="W105" s="436">
        <v>145</v>
      </c>
      <c r="X105" s="436">
        <f>IF(W105&lt;='B1 '!$L$29,'B1 '!$M$29,IF(AND(W105&lt;='B1 '!$L$28,W105&gt;'B1 '!$L$29),0+(('B1 '!$M$29-'B1 '!$M$28)/('B1 '!$L$29-'B1 '!$L$28))*(W105-'B1 '!$L$28),0))</f>
        <v>47.142857142857139</v>
      </c>
      <c r="Y105" s="613"/>
      <c r="Z105" s="436">
        <v>14.5</v>
      </c>
      <c r="AA105" s="436">
        <f>IF(Z105&lt;='B1 '!$L$31,'B1 '!$M$31,IF(AND(Z105&lt;='B1 '!$L$30,Z105&gt;'B1 '!$L$31),0+(('B1 '!$M$31-'B1 '!$M$30)/('B1 '!$L$31-'B1 '!$L$30))*(Z105-'B1 '!$L$30),0))</f>
        <v>135</v>
      </c>
      <c r="AB105" s="183"/>
    </row>
    <row r="106" spans="2:28">
      <c r="B106" s="182"/>
      <c r="C106" s="435"/>
      <c r="D106" s="435"/>
      <c r="E106" s="611"/>
      <c r="F106" s="435"/>
      <c r="G106" s="435"/>
      <c r="H106" s="611"/>
      <c r="I106" s="435">
        <v>150</v>
      </c>
      <c r="J106" s="435">
        <f>IF(I106&lt;='B1 '!$G$29,'B1 '!$H$29,IF(AND(I106&lt;='B1 '!$G$28,I106&gt;'B1 '!$G$29),0+(('B1 '!$H$29-'B1 '!$H$28)/('B1 '!$G$29-'B1 '!$G$28))*(I106-'B1 '!$G$28),0))</f>
        <v>30</v>
      </c>
      <c r="K106" s="611"/>
      <c r="L106" s="435">
        <v>15</v>
      </c>
      <c r="M106" s="435">
        <f>IF(L106&lt;='B1 '!$G$31,'B1 '!$H$31,IF(AND(L106&lt;='B1 '!$G$30,L106&gt;'B1 '!$G$31),0+(('B1 '!$H$31-'B1 '!$H$30)/('B1 '!$G$31-'B1 '!$G$30))*(L106-'B1 '!$G$30),0))</f>
        <v>135</v>
      </c>
      <c r="N106" s="415"/>
      <c r="O106" s="434"/>
      <c r="P106" s="612"/>
      <c r="Q106" s="436">
        <v>30</v>
      </c>
      <c r="R106" s="436">
        <f>IF(Q106&lt;='B1 '!$L$25,'B1 '!$M$25,IF(AND(Q106&lt;='B1 '!$L$24,Q106&gt;'B1 '!$L$25),0+(('B1 '!$M$25-'B1 '!$M$24)/('B1 '!$L$25-'B1 '!$L$24))*(Q106-'B1 '!$L$24),0))</f>
        <v>42.424242424242422</v>
      </c>
      <c r="S106" s="613"/>
      <c r="T106" s="436"/>
      <c r="U106" s="436"/>
      <c r="V106" s="613"/>
      <c r="W106" s="436">
        <v>150</v>
      </c>
      <c r="X106" s="436">
        <f>IF(W106&lt;='B1 '!$L$29,'B1 '!$M$29,IF(AND(W106&lt;='B1 '!$L$28,W106&gt;'B1 '!$L$29),0+(('B1 '!$M$29-'B1 '!$M$28)/('B1 '!$L$29-'B1 '!$L$28))*(W106-'B1 '!$L$28),0))</f>
        <v>42.857142857142854</v>
      </c>
      <c r="Y106" s="613"/>
      <c r="Z106" s="436">
        <v>15</v>
      </c>
      <c r="AA106" s="436">
        <f>IF(Z106&lt;='B1 '!$L$31,'B1 '!$M$31,IF(AND(Z106&lt;='B1 '!$L$30,Z106&gt;'B1 '!$L$31),0+(('B1 '!$M$31-'B1 '!$M$30)/('B1 '!$L$31-'B1 '!$L$30))*(Z106-'B1 '!$L$30),0))</f>
        <v>135</v>
      </c>
      <c r="AB106" s="183"/>
    </row>
    <row r="107" spans="2:28">
      <c r="B107" s="182"/>
      <c r="C107" s="435"/>
      <c r="D107" s="435"/>
      <c r="E107" s="611"/>
      <c r="F107" s="435"/>
      <c r="G107" s="435"/>
      <c r="H107" s="611"/>
      <c r="I107" s="435">
        <v>155</v>
      </c>
      <c r="J107" s="435">
        <f>IF(I107&lt;='B1 '!$G$29,'B1 '!$H$29,IF(AND(I107&lt;='B1 '!$G$28,I107&gt;'B1 '!$G$29),0+(('B1 '!$H$29-'B1 '!$H$28)/('B1 '!$G$29-'B1 '!$G$28))*(I107-'B1 '!$G$28),0))</f>
        <v>25</v>
      </c>
      <c r="K107" s="611"/>
      <c r="L107" s="435">
        <v>15.5</v>
      </c>
      <c r="M107" s="435">
        <f>IF(L107&lt;='B1 '!$G$31,'B1 '!$H$31,IF(AND(L107&lt;='B1 '!$G$30,L107&gt;'B1 '!$G$31),0+(('B1 '!$H$31-'B1 '!$H$30)/('B1 '!$G$31-'B1 '!$G$30))*(L107-'B1 '!$G$30),0))</f>
        <v>135</v>
      </c>
      <c r="N107" s="415"/>
      <c r="O107" s="434"/>
      <c r="P107" s="612"/>
      <c r="Q107" s="436">
        <v>31</v>
      </c>
      <c r="R107" s="436">
        <f>IF(Q107&lt;='B1 '!$L$25,'B1 '!$M$25,IF(AND(Q107&lt;='B1 '!$L$24,Q107&gt;'B1 '!$L$25),0+(('B1 '!$M$25-'B1 '!$M$24)/('B1 '!$L$25-'B1 '!$L$24))*(Q107-'B1 '!$L$24),0))</f>
        <v>40.909090909090907</v>
      </c>
      <c r="S107" s="613"/>
      <c r="T107" s="436"/>
      <c r="U107" s="436"/>
      <c r="V107" s="613"/>
      <c r="W107" s="436">
        <v>155</v>
      </c>
      <c r="X107" s="436">
        <f>IF(W107&lt;='B1 '!$L$29,'B1 '!$M$29,IF(AND(W107&lt;='B1 '!$L$28,W107&gt;'B1 '!$L$29),0+(('B1 '!$M$29-'B1 '!$M$28)/('B1 '!$L$29-'B1 '!$L$28))*(W107-'B1 '!$L$28),0))</f>
        <v>38.571428571428569</v>
      </c>
      <c r="Y107" s="613"/>
      <c r="Z107" s="436">
        <v>15.5</v>
      </c>
      <c r="AA107" s="436">
        <f>IF(Z107&lt;='B1 '!$L$31,'B1 '!$M$31,IF(AND(Z107&lt;='B1 '!$L$30,Z107&gt;'B1 '!$L$31),0+(('B1 '!$M$31-'B1 '!$M$30)/('B1 '!$L$31-'B1 '!$L$30))*(Z107-'B1 '!$L$30),0))</f>
        <v>135</v>
      </c>
      <c r="AB107" s="183"/>
    </row>
    <row r="108" spans="2:28">
      <c r="B108" s="182"/>
      <c r="C108" s="435"/>
      <c r="D108" s="435"/>
      <c r="E108" s="611"/>
      <c r="F108" s="435"/>
      <c r="G108" s="435"/>
      <c r="H108" s="611"/>
      <c r="I108" s="435">
        <v>160</v>
      </c>
      <c r="J108" s="435">
        <f>IF(I108&lt;='B1 '!$G$29,'B1 '!$H$29,IF(AND(I108&lt;='B1 '!$G$28,I108&gt;'B1 '!$G$29),0+(('B1 '!$H$29-'B1 '!$H$28)/('B1 '!$G$29-'B1 '!$G$28))*(I108-'B1 '!$G$28),0))</f>
        <v>20</v>
      </c>
      <c r="K108" s="611"/>
      <c r="L108" s="435">
        <v>16</v>
      </c>
      <c r="M108" s="435">
        <f>IF(L108&lt;='B1 '!$G$31,'B1 '!$H$31,IF(AND(L108&lt;='B1 '!$G$30,L108&gt;'B1 '!$G$31),0+(('B1 '!$H$31-'B1 '!$H$30)/('B1 '!$G$31-'B1 '!$G$30))*(L108-'B1 '!$G$30),0))</f>
        <v>135</v>
      </c>
      <c r="N108" s="415"/>
      <c r="O108" s="434"/>
      <c r="P108" s="612"/>
      <c r="Q108" s="436">
        <v>32</v>
      </c>
      <c r="R108" s="436">
        <f>IF(Q108&lt;='B1 '!$L$25,'B1 '!$M$25,IF(AND(Q108&lt;='B1 '!$L$24,Q108&gt;'B1 '!$L$25),0+(('B1 '!$M$25-'B1 '!$M$24)/('B1 '!$L$25-'B1 '!$L$24))*(Q108-'B1 '!$L$24),0))</f>
        <v>39.393939393939391</v>
      </c>
      <c r="S108" s="613"/>
      <c r="T108" s="436"/>
      <c r="U108" s="436"/>
      <c r="V108" s="613"/>
      <c r="W108" s="436">
        <v>160</v>
      </c>
      <c r="X108" s="436">
        <f>IF(W108&lt;='B1 '!$L$29,'B1 '!$M$29,IF(AND(W108&lt;='B1 '!$L$28,W108&gt;'B1 '!$L$29),0+(('B1 '!$M$29-'B1 '!$M$28)/('B1 '!$L$29-'B1 '!$L$28))*(W108-'B1 '!$L$28),0))</f>
        <v>34.285714285714285</v>
      </c>
      <c r="Y108" s="613"/>
      <c r="Z108" s="436">
        <v>16</v>
      </c>
      <c r="AA108" s="436">
        <f>IF(Z108&lt;='B1 '!$L$31,'B1 '!$M$31,IF(AND(Z108&lt;='B1 '!$L$30,Z108&gt;'B1 '!$L$31),0+(('B1 '!$M$31-'B1 '!$M$30)/('B1 '!$L$31-'B1 '!$L$30))*(Z108-'B1 '!$L$30),0))</f>
        <v>135</v>
      </c>
      <c r="AB108" s="183"/>
    </row>
    <row r="109" spans="2:28">
      <c r="B109" s="182"/>
      <c r="C109" s="435"/>
      <c r="D109" s="435"/>
      <c r="E109" s="611"/>
      <c r="F109" s="435"/>
      <c r="G109" s="435"/>
      <c r="H109" s="611"/>
      <c r="I109" s="435">
        <v>165</v>
      </c>
      <c r="J109" s="435">
        <f>IF(I109&lt;='B1 '!$G$29,'B1 '!$H$29,IF(AND(I109&lt;='B1 '!$G$28,I109&gt;'B1 '!$G$29),0+(('B1 '!$H$29-'B1 '!$H$28)/('B1 '!$G$29-'B1 '!$G$28))*(I109-'B1 '!$G$28),0))</f>
        <v>15</v>
      </c>
      <c r="K109" s="611"/>
      <c r="L109" s="435">
        <v>16.5</v>
      </c>
      <c r="M109" s="435">
        <f>IF(L109&lt;='B1 '!$G$31,'B1 '!$H$31,IF(AND(L109&lt;='B1 '!$G$30,L109&gt;'B1 '!$G$31),0+(('B1 '!$H$31-'B1 '!$H$30)/('B1 '!$G$31-'B1 '!$G$30))*(L109-'B1 '!$G$30),0))</f>
        <v>135</v>
      </c>
      <c r="N109" s="415"/>
      <c r="O109" s="434"/>
      <c r="P109" s="612"/>
      <c r="Q109" s="436">
        <v>33</v>
      </c>
      <c r="R109" s="436">
        <f>IF(Q109&lt;='B1 '!$L$25,'B1 '!$M$25,IF(AND(Q109&lt;='B1 '!$L$24,Q109&gt;'B1 '!$L$25),0+(('B1 '!$M$25-'B1 '!$M$24)/('B1 '!$L$25-'B1 '!$L$24))*(Q109-'B1 '!$L$24),0))</f>
        <v>37.878787878787875</v>
      </c>
      <c r="S109" s="613"/>
      <c r="T109" s="436"/>
      <c r="U109" s="436"/>
      <c r="V109" s="613"/>
      <c r="W109" s="436">
        <v>165</v>
      </c>
      <c r="X109" s="436">
        <f>IF(W109&lt;='B1 '!$L$29,'B1 '!$M$29,IF(AND(W109&lt;='B1 '!$L$28,W109&gt;'B1 '!$L$29),0+(('B1 '!$M$29-'B1 '!$M$28)/('B1 '!$L$29-'B1 '!$L$28))*(W109-'B1 '!$L$28),0))</f>
        <v>30</v>
      </c>
      <c r="Y109" s="613"/>
      <c r="Z109" s="436">
        <v>16.5</v>
      </c>
      <c r="AA109" s="436">
        <f>IF(Z109&lt;='B1 '!$L$31,'B1 '!$M$31,IF(AND(Z109&lt;='B1 '!$L$30,Z109&gt;'B1 '!$L$31),0+(('B1 '!$M$31-'B1 '!$M$30)/('B1 '!$L$31-'B1 '!$L$30))*(Z109-'B1 '!$L$30),0))</f>
        <v>135</v>
      </c>
      <c r="AB109" s="183"/>
    </row>
    <row r="110" spans="2:28">
      <c r="B110" s="182"/>
      <c r="C110" s="435"/>
      <c r="D110" s="435"/>
      <c r="E110" s="611"/>
      <c r="F110" s="435"/>
      <c r="G110" s="435"/>
      <c r="H110" s="611"/>
      <c r="I110" s="435">
        <v>170</v>
      </c>
      <c r="J110" s="435">
        <f>IF(I110&lt;='B1 '!$G$29,'B1 '!$H$29,IF(AND(I110&lt;='B1 '!$G$28,I110&gt;'B1 '!$G$29),0+(('B1 '!$H$29-'B1 '!$H$28)/('B1 '!$G$29-'B1 '!$G$28))*(I110-'B1 '!$G$28),0))</f>
        <v>10</v>
      </c>
      <c r="K110" s="611"/>
      <c r="L110" s="435">
        <v>17</v>
      </c>
      <c r="M110" s="435">
        <f>IF(L110&lt;='B1 '!$G$31,'B1 '!$H$31,IF(AND(L110&lt;='B1 '!$G$30,L110&gt;'B1 '!$G$31),0+(('B1 '!$H$31-'B1 '!$H$30)/('B1 '!$G$31-'B1 '!$G$30))*(L110-'B1 '!$G$30),0))</f>
        <v>135</v>
      </c>
      <c r="N110" s="415"/>
      <c r="O110" s="434"/>
      <c r="P110" s="612"/>
      <c r="Q110" s="436">
        <v>34</v>
      </c>
      <c r="R110" s="436">
        <f>IF(Q110&lt;='B1 '!$L$25,'B1 '!$M$25,IF(AND(Q110&lt;='B1 '!$L$24,Q110&gt;'B1 '!$L$25),0+(('B1 '!$M$25-'B1 '!$M$24)/('B1 '!$L$25-'B1 '!$L$24))*(Q110-'B1 '!$L$24),0))</f>
        <v>36.36363636363636</v>
      </c>
      <c r="S110" s="613"/>
      <c r="T110" s="436"/>
      <c r="U110" s="436"/>
      <c r="V110" s="613"/>
      <c r="W110" s="436">
        <v>170</v>
      </c>
      <c r="X110" s="436">
        <f>IF(W110&lt;='B1 '!$L$29,'B1 '!$M$29,IF(AND(W110&lt;='B1 '!$L$28,W110&gt;'B1 '!$L$29),0+(('B1 '!$M$29-'B1 '!$M$28)/('B1 '!$L$29-'B1 '!$L$28))*(W110-'B1 '!$L$28),0))</f>
        <v>25.714285714285712</v>
      </c>
      <c r="Y110" s="613"/>
      <c r="Z110" s="436">
        <v>17</v>
      </c>
      <c r="AA110" s="436">
        <f>IF(Z110&lt;='B1 '!$L$31,'B1 '!$M$31,IF(AND(Z110&lt;='B1 '!$L$30,Z110&gt;'B1 '!$L$31),0+(('B1 '!$M$31-'B1 '!$M$30)/('B1 '!$L$31-'B1 '!$L$30))*(Z110-'B1 '!$L$30),0))</f>
        <v>135</v>
      </c>
      <c r="AB110" s="183"/>
    </row>
    <row r="111" spans="2:28">
      <c r="B111" s="182"/>
      <c r="C111" s="435"/>
      <c r="D111" s="435"/>
      <c r="E111" s="611"/>
      <c r="F111" s="435"/>
      <c r="G111" s="435"/>
      <c r="H111" s="611"/>
      <c r="I111" s="435">
        <v>175</v>
      </c>
      <c r="J111" s="435">
        <f>IF(I111&lt;='B1 '!$G$29,'B1 '!$H$29,IF(AND(I111&lt;='B1 '!$G$28,I111&gt;'B1 '!$G$29),0+(('B1 '!$H$29-'B1 '!$H$28)/('B1 '!$G$29-'B1 '!$G$28))*(I111-'B1 '!$G$28),0))</f>
        <v>5</v>
      </c>
      <c r="K111" s="611"/>
      <c r="L111" s="435">
        <v>17.5</v>
      </c>
      <c r="M111" s="435">
        <f>IF(L111&lt;='B1 '!$G$31,'B1 '!$H$31,IF(AND(L111&lt;='B1 '!$G$30,L111&gt;'B1 '!$G$31),0+(('B1 '!$H$31-'B1 '!$H$30)/('B1 '!$G$31-'B1 '!$G$30))*(L111-'B1 '!$G$30),0))</f>
        <v>135</v>
      </c>
      <c r="N111" s="415"/>
      <c r="O111" s="434"/>
      <c r="P111" s="612"/>
      <c r="Q111" s="436">
        <v>35</v>
      </c>
      <c r="R111" s="436">
        <f>IF(Q111&lt;='B1 '!$L$25,'B1 '!$M$25,IF(AND(Q111&lt;='B1 '!$L$24,Q111&gt;'B1 '!$L$25),0+(('B1 '!$M$25-'B1 '!$M$24)/('B1 '!$L$25-'B1 '!$L$24))*(Q111-'B1 '!$L$24),0))</f>
        <v>34.848484848484851</v>
      </c>
      <c r="S111" s="613"/>
      <c r="T111" s="436"/>
      <c r="U111" s="436"/>
      <c r="V111" s="613"/>
      <c r="W111" s="436">
        <v>175</v>
      </c>
      <c r="X111" s="436">
        <f>IF(W111&lt;='B1 '!$L$29,'B1 '!$M$29,IF(AND(W111&lt;='B1 '!$L$28,W111&gt;'B1 '!$L$29),0+(('B1 '!$M$29-'B1 '!$M$28)/('B1 '!$L$29-'B1 '!$L$28))*(W111-'B1 '!$L$28),0))</f>
        <v>21.428571428571427</v>
      </c>
      <c r="Y111" s="613"/>
      <c r="Z111" s="436">
        <v>17.5</v>
      </c>
      <c r="AA111" s="436">
        <f>IF(Z111&lt;='B1 '!$L$31,'B1 '!$M$31,IF(AND(Z111&lt;='B1 '!$L$30,Z111&gt;'B1 '!$L$31),0+(('B1 '!$M$31-'B1 '!$M$30)/('B1 '!$L$31-'B1 '!$L$30))*(Z111-'B1 '!$L$30),0))</f>
        <v>135</v>
      </c>
      <c r="AB111" s="183"/>
    </row>
    <row r="112" spans="2:28">
      <c r="B112" s="182"/>
      <c r="C112" s="435"/>
      <c r="D112" s="435"/>
      <c r="E112" s="611"/>
      <c r="F112" s="435"/>
      <c r="G112" s="435"/>
      <c r="H112" s="611"/>
      <c r="I112" s="435">
        <v>180</v>
      </c>
      <c r="J112" s="435">
        <f>IF(I112&lt;='B1 '!$G$29,'B1 '!$H$29,IF(AND(I112&lt;='B1 '!$G$28,I112&gt;'B1 '!$G$29),0+(('B1 '!$H$29-'B1 '!$H$28)/('B1 '!$G$29-'B1 '!$G$28))*(I112-'B1 '!$G$28),0))</f>
        <v>0</v>
      </c>
      <c r="K112" s="611"/>
      <c r="L112" s="435">
        <v>18</v>
      </c>
      <c r="M112" s="435">
        <f>IF(L112&lt;='B1 '!$G$31,'B1 '!$H$31,IF(AND(L112&lt;='B1 '!$G$30,L112&gt;'B1 '!$G$31),0+(('B1 '!$H$31-'B1 '!$H$30)/('B1 '!$G$31-'B1 '!$G$30))*(L112-'B1 '!$G$30),0))</f>
        <v>135</v>
      </c>
      <c r="N112" s="415"/>
      <c r="O112" s="434"/>
      <c r="P112" s="612"/>
      <c r="Q112" s="436">
        <v>36</v>
      </c>
      <c r="R112" s="436">
        <f>IF(Q112&lt;='B1 '!$L$25,'B1 '!$M$25,IF(AND(Q112&lt;='B1 '!$L$24,Q112&gt;'B1 '!$L$25),0+(('B1 '!$M$25-'B1 '!$M$24)/('B1 '!$L$25-'B1 '!$L$24))*(Q112-'B1 '!$L$24),0))</f>
        <v>33.333333333333336</v>
      </c>
      <c r="S112" s="613"/>
      <c r="T112" s="436"/>
      <c r="U112" s="436"/>
      <c r="V112" s="613"/>
      <c r="W112" s="436">
        <v>180</v>
      </c>
      <c r="X112" s="436">
        <f>IF(W112&lt;='B1 '!$L$29,'B1 '!$M$29,IF(AND(W112&lt;='B1 '!$L$28,W112&gt;'B1 '!$L$29),0+(('B1 '!$M$29-'B1 '!$M$28)/('B1 '!$L$29-'B1 '!$L$28))*(W112-'B1 '!$L$28),0))</f>
        <v>17.142857142857142</v>
      </c>
      <c r="Y112" s="613"/>
      <c r="Z112" s="436">
        <v>18</v>
      </c>
      <c r="AA112" s="436">
        <f>IF(Z112&lt;='B1 '!$L$31,'B1 '!$M$31,IF(AND(Z112&lt;='B1 '!$L$30,Z112&gt;'B1 '!$L$31),0+(('B1 '!$M$31-'B1 '!$M$30)/('B1 '!$L$31-'B1 '!$L$30))*(Z112-'B1 '!$L$30),0))</f>
        <v>135</v>
      </c>
      <c r="AB112" s="183"/>
    </row>
    <row r="113" spans="2:28">
      <c r="B113" s="182"/>
      <c r="C113" s="435"/>
      <c r="D113" s="435"/>
      <c r="E113" s="611"/>
      <c r="F113" s="435"/>
      <c r="G113" s="435"/>
      <c r="H113" s="611"/>
      <c r="I113" s="435">
        <v>185</v>
      </c>
      <c r="J113" s="435">
        <f>IF(I113&lt;='B1 '!$G$29,'B1 '!$H$29,IF(AND(I113&lt;='B1 '!$G$28,I113&gt;'B1 '!$G$29),0+(('B1 '!$H$29-'B1 '!$H$28)/('B1 '!$G$29-'B1 '!$G$28))*(I113-'B1 '!$G$28),0))</f>
        <v>0</v>
      </c>
      <c r="K113" s="611"/>
      <c r="L113" s="435">
        <v>18.5</v>
      </c>
      <c r="M113" s="435">
        <f>IF(L113&lt;='B1 '!$G$31,'B1 '!$H$31,IF(AND(L113&lt;='B1 '!$G$30,L113&gt;'B1 '!$G$31),0+(('B1 '!$H$31-'B1 '!$H$30)/('B1 '!$G$31-'B1 '!$G$30))*(L113-'B1 '!$G$30),0))</f>
        <v>135</v>
      </c>
      <c r="N113" s="415"/>
      <c r="O113" s="434"/>
      <c r="P113" s="612"/>
      <c r="Q113" s="436">
        <v>37</v>
      </c>
      <c r="R113" s="436">
        <f>IF(Q113&lt;='B1 '!$L$25,'B1 '!$M$25,IF(AND(Q113&lt;='B1 '!$L$24,Q113&gt;'B1 '!$L$25),0+(('B1 '!$M$25-'B1 '!$M$24)/('B1 '!$L$25-'B1 '!$L$24))*(Q113-'B1 '!$L$24),0))</f>
        <v>31.818181818181817</v>
      </c>
      <c r="S113" s="613"/>
      <c r="T113" s="436"/>
      <c r="U113" s="436"/>
      <c r="V113" s="613"/>
      <c r="W113" s="436">
        <v>185</v>
      </c>
      <c r="X113" s="436">
        <f>IF(W113&lt;='B1 '!$L$29,'B1 '!$M$29,IF(AND(W113&lt;='B1 '!$L$28,W113&gt;'B1 '!$L$29),0+(('B1 '!$M$29-'B1 '!$M$28)/('B1 '!$L$29-'B1 '!$L$28))*(W113-'B1 '!$L$28),0))</f>
        <v>12.857142857142856</v>
      </c>
      <c r="Y113" s="613"/>
      <c r="Z113" s="436">
        <v>18.5</v>
      </c>
      <c r="AA113" s="436">
        <f>IF(Z113&lt;='B1 '!$L$31,'B1 '!$M$31,IF(AND(Z113&lt;='B1 '!$L$30,Z113&gt;'B1 '!$L$31),0+(('B1 '!$M$31-'B1 '!$M$30)/('B1 '!$L$31-'B1 '!$L$30))*(Z113-'B1 '!$L$30),0))</f>
        <v>135</v>
      </c>
      <c r="AB113" s="183"/>
    </row>
    <row r="114" spans="2:28">
      <c r="B114" s="182"/>
      <c r="C114" s="435"/>
      <c r="D114" s="435"/>
      <c r="E114" s="611"/>
      <c r="F114" s="435"/>
      <c r="G114" s="435"/>
      <c r="H114" s="611"/>
      <c r="I114" s="435">
        <v>190</v>
      </c>
      <c r="J114" s="435">
        <f>IF(I114&lt;='B1 '!$G$29,'B1 '!$H$29,IF(AND(I114&lt;='B1 '!$G$28,I114&gt;'B1 '!$G$29),0+(('B1 '!$H$29-'B1 '!$H$28)/('B1 '!$G$29-'B1 '!$G$28))*(I114-'B1 '!$G$28),0))</f>
        <v>0</v>
      </c>
      <c r="K114" s="611"/>
      <c r="L114" s="435">
        <v>19</v>
      </c>
      <c r="M114" s="435">
        <f>IF(L114&lt;='B1 '!$G$31,'B1 '!$H$31,IF(AND(L114&lt;='B1 '!$G$30,L114&gt;'B1 '!$G$31),0+(('B1 '!$H$31-'B1 '!$H$30)/('B1 '!$G$31-'B1 '!$G$30))*(L114-'B1 '!$G$30),0))</f>
        <v>135</v>
      </c>
      <c r="N114" s="415"/>
      <c r="O114" s="434"/>
      <c r="P114" s="612"/>
      <c r="Q114" s="436">
        <v>38</v>
      </c>
      <c r="R114" s="436">
        <f>IF(Q114&lt;='B1 '!$L$25,'B1 '!$M$25,IF(AND(Q114&lt;='B1 '!$L$24,Q114&gt;'B1 '!$L$25),0+(('B1 '!$M$25-'B1 '!$M$24)/('B1 '!$L$25-'B1 '!$L$24))*(Q114-'B1 '!$L$24),0))</f>
        <v>30.303030303030305</v>
      </c>
      <c r="S114" s="613"/>
      <c r="T114" s="436"/>
      <c r="U114" s="436"/>
      <c r="V114" s="613"/>
      <c r="W114" s="436">
        <v>190</v>
      </c>
      <c r="X114" s="436">
        <f>IF(W114&lt;='B1 '!$L$29,'B1 '!$M$29,IF(AND(W114&lt;='B1 '!$L$28,W114&gt;'B1 '!$L$29),0+(('B1 '!$M$29-'B1 '!$M$28)/('B1 '!$L$29-'B1 '!$L$28))*(W114-'B1 '!$L$28),0))</f>
        <v>8.5714285714285712</v>
      </c>
      <c r="Y114" s="613"/>
      <c r="Z114" s="436">
        <v>19</v>
      </c>
      <c r="AA114" s="436">
        <f>IF(Z114&lt;='B1 '!$L$31,'B1 '!$M$31,IF(AND(Z114&lt;='B1 '!$L$30,Z114&gt;'B1 '!$L$31),0+(('B1 '!$M$31-'B1 '!$M$30)/('B1 '!$L$31-'B1 '!$L$30))*(Z114-'B1 '!$L$30),0))</f>
        <v>135</v>
      </c>
      <c r="AB114" s="183"/>
    </row>
    <row r="115" spans="2:28">
      <c r="B115" s="182"/>
      <c r="C115" s="435"/>
      <c r="D115" s="435"/>
      <c r="E115" s="611"/>
      <c r="F115" s="435"/>
      <c r="G115" s="435"/>
      <c r="H115" s="611"/>
      <c r="I115" s="435">
        <v>195</v>
      </c>
      <c r="J115" s="435">
        <f>IF(I115&lt;='B1 '!$G$29,'B1 '!$H$29,IF(AND(I115&lt;='B1 '!$G$28,I115&gt;'B1 '!$G$29),0+(('B1 '!$H$29-'B1 '!$H$28)/('B1 '!$G$29-'B1 '!$G$28))*(I115-'B1 '!$G$28),0))</f>
        <v>0</v>
      </c>
      <c r="K115" s="611"/>
      <c r="L115" s="435">
        <v>19.5</v>
      </c>
      <c r="M115" s="435">
        <f>IF(L115&lt;='B1 '!$G$31,'B1 '!$H$31,IF(AND(L115&lt;='B1 '!$G$30,L115&gt;'B1 '!$G$31),0+(('B1 '!$H$31-'B1 '!$H$30)/('B1 '!$G$31-'B1 '!$G$30))*(L115-'B1 '!$G$30),0))</f>
        <v>135</v>
      </c>
      <c r="N115" s="415"/>
      <c r="O115" s="434"/>
      <c r="P115" s="612"/>
      <c r="Q115" s="436">
        <v>39</v>
      </c>
      <c r="R115" s="436">
        <f>IF(Q115&lt;='B1 '!$L$25,'B1 '!$M$25,IF(AND(Q115&lt;='B1 '!$L$24,Q115&gt;'B1 '!$L$25),0+(('B1 '!$M$25-'B1 '!$M$24)/('B1 '!$L$25-'B1 '!$L$24))*(Q115-'B1 '!$L$24),0))</f>
        <v>28.787878787878789</v>
      </c>
      <c r="S115" s="613"/>
      <c r="T115" s="436"/>
      <c r="U115" s="436"/>
      <c r="V115" s="613"/>
      <c r="W115" s="436">
        <v>195</v>
      </c>
      <c r="X115" s="436">
        <f>IF(W115&lt;='B1 '!$L$29,'B1 '!$M$29,IF(AND(W115&lt;='B1 '!$L$28,W115&gt;'B1 '!$L$29),0+(('B1 '!$M$29-'B1 '!$M$28)/('B1 '!$L$29-'B1 '!$L$28))*(W115-'B1 '!$L$28),0))</f>
        <v>4.2857142857142856</v>
      </c>
      <c r="Y115" s="613"/>
      <c r="Z115" s="436">
        <v>19.5</v>
      </c>
      <c r="AA115" s="436">
        <f>IF(Z115&lt;='B1 '!$L$31,'B1 '!$M$31,IF(AND(Z115&lt;='B1 '!$L$30,Z115&gt;'B1 '!$L$31),0+(('B1 '!$M$31-'B1 '!$M$30)/('B1 '!$L$31-'B1 '!$L$30))*(Z115-'B1 '!$L$30),0))</f>
        <v>135</v>
      </c>
      <c r="AB115" s="183"/>
    </row>
    <row r="116" spans="2:28">
      <c r="B116" s="182"/>
      <c r="C116" s="435"/>
      <c r="D116" s="435"/>
      <c r="E116" s="611"/>
      <c r="F116" s="435"/>
      <c r="G116" s="435"/>
      <c r="H116" s="611"/>
      <c r="I116" s="435">
        <v>200</v>
      </c>
      <c r="J116" s="435">
        <f>IF(I116&lt;='B1 '!$G$29,'B1 '!$H$29,IF(AND(I116&lt;='B1 '!$G$28,I116&gt;'B1 '!$G$29),0+(('B1 '!$H$29-'B1 '!$H$28)/('B1 '!$G$29-'B1 '!$G$28))*(I116-'B1 '!$G$28),0))</f>
        <v>0</v>
      </c>
      <c r="K116" s="611"/>
      <c r="L116" s="435">
        <v>20</v>
      </c>
      <c r="M116" s="435">
        <f>IF(L116&lt;='B1 '!$G$31,'B1 '!$H$31,IF(AND(L116&lt;='B1 '!$G$30,L116&gt;'B1 '!$G$31),0+(('B1 '!$H$31-'B1 '!$H$30)/('B1 '!$G$31-'B1 '!$G$30))*(L116-'B1 '!$G$30),0))</f>
        <v>135</v>
      </c>
      <c r="N116" s="415"/>
      <c r="O116" s="434"/>
      <c r="P116" s="612"/>
      <c r="Q116" s="436">
        <v>40</v>
      </c>
      <c r="R116" s="436">
        <f>IF(Q116&lt;='B1 '!$L$25,'B1 '!$M$25,IF(AND(Q116&lt;='B1 '!$L$24,Q116&gt;'B1 '!$L$25),0+(('B1 '!$M$25-'B1 '!$M$24)/('B1 '!$L$25-'B1 '!$L$24))*(Q116-'B1 '!$L$24),0))</f>
        <v>27.272727272727273</v>
      </c>
      <c r="S116" s="613"/>
      <c r="T116" s="436"/>
      <c r="U116" s="436"/>
      <c r="V116" s="613"/>
      <c r="W116" s="436">
        <v>200</v>
      </c>
      <c r="X116" s="436">
        <f>IF(W116&lt;='B1 '!$L$29,'B1 '!$M$29,IF(AND(W116&lt;='B1 '!$L$28,W116&gt;'B1 '!$L$29),0+(('B1 '!$M$29-'B1 '!$M$28)/('B1 '!$L$29-'B1 '!$L$28))*(W116-'B1 '!$L$28),0))</f>
        <v>0</v>
      </c>
      <c r="Y116" s="613"/>
      <c r="Z116" s="436">
        <v>20</v>
      </c>
      <c r="AA116" s="436">
        <f>IF(Z116&lt;='B1 '!$L$31,'B1 '!$M$31,IF(AND(Z116&lt;='B1 '!$L$30,Z116&gt;'B1 '!$L$31),0+(('B1 '!$M$31-'B1 '!$M$30)/('B1 '!$L$31-'B1 '!$L$30))*(Z116-'B1 '!$L$30),0))</f>
        <v>135</v>
      </c>
      <c r="AB116" s="183"/>
    </row>
    <row r="117" spans="2:28">
      <c r="B117" s="182"/>
      <c r="C117" s="435"/>
      <c r="D117" s="435"/>
      <c r="E117" s="611"/>
      <c r="F117" s="435"/>
      <c r="G117" s="435"/>
      <c r="H117" s="611"/>
      <c r="I117" s="435">
        <v>205</v>
      </c>
      <c r="J117" s="435">
        <f>IF(I117&lt;='B1 '!$G$29,'B1 '!$H$29,IF(AND(I117&lt;='B1 '!$G$28,I117&gt;'B1 '!$G$29),0+(('B1 '!$H$29-'B1 '!$H$28)/('B1 '!$G$29-'B1 '!$G$28))*(I117-'B1 '!$G$28),0))</f>
        <v>0</v>
      </c>
      <c r="K117" s="611"/>
      <c r="L117" s="435">
        <v>20.5</v>
      </c>
      <c r="M117" s="435">
        <f>IF(L117&lt;='B1 '!$G$31,'B1 '!$H$31,IF(AND(L117&lt;='B1 '!$G$30,L117&gt;'B1 '!$G$31),0+(('B1 '!$H$31-'B1 '!$H$30)/('B1 '!$G$31-'B1 '!$G$30))*(L117-'B1 '!$G$30),0))</f>
        <v>135</v>
      </c>
      <c r="N117" s="415"/>
      <c r="O117" s="434"/>
      <c r="P117" s="612"/>
      <c r="Q117" s="436">
        <v>41</v>
      </c>
      <c r="R117" s="436">
        <f>IF(Q117&lt;='B1 '!$L$25,'B1 '!$M$25,IF(AND(Q117&lt;='B1 '!$L$24,Q117&gt;'B1 '!$L$25),0+(('B1 '!$M$25-'B1 '!$M$24)/('B1 '!$L$25-'B1 '!$L$24))*(Q117-'B1 '!$L$24),0))</f>
        <v>25.757575757575758</v>
      </c>
      <c r="S117" s="613"/>
      <c r="T117" s="436"/>
      <c r="U117" s="436"/>
      <c r="V117" s="613"/>
      <c r="W117" s="436">
        <v>205</v>
      </c>
      <c r="X117" s="436">
        <f>IF(W117&lt;='B1 '!$L$29,'B1 '!$M$29,IF(AND(W117&lt;='B1 '!$L$28,W117&gt;'B1 '!$L$29),0+(('B1 '!$M$29-'B1 '!$M$28)/('B1 '!$L$29-'B1 '!$L$28))*(W117-'B1 '!$L$28),0))</f>
        <v>0</v>
      </c>
      <c r="Y117" s="613"/>
      <c r="Z117" s="436">
        <v>20.5</v>
      </c>
      <c r="AA117" s="436">
        <f>IF(Z117&lt;='B1 '!$L$31,'B1 '!$M$31,IF(AND(Z117&lt;='B1 '!$L$30,Z117&gt;'B1 '!$L$31),0+(('B1 '!$M$31-'B1 '!$M$30)/('B1 '!$L$31-'B1 '!$L$30))*(Z117-'B1 '!$L$30),0))</f>
        <v>135</v>
      </c>
      <c r="AB117" s="183"/>
    </row>
    <row r="118" spans="2:28">
      <c r="B118" s="182"/>
      <c r="C118" s="435"/>
      <c r="D118" s="435"/>
      <c r="E118" s="611"/>
      <c r="F118" s="435"/>
      <c r="G118" s="435"/>
      <c r="H118" s="611"/>
      <c r="I118" s="435">
        <v>210</v>
      </c>
      <c r="J118" s="435">
        <f>IF(I118&lt;='B1 '!$G$29,'B1 '!$H$29,IF(AND(I118&lt;='B1 '!$G$28,I118&gt;'B1 '!$G$29),0+(('B1 '!$H$29-'B1 '!$H$28)/('B1 '!$G$29-'B1 '!$G$28))*(I118-'B1 '!$G$28),0))</f>
        <v>0</v>
      </c>
      <c r="K118" s="611"/>
      <c r="L118" s="435">
        <v>21</v>
      </c>
      <c r="M118" s="435">
        <f>IF(L118&lt;='B1 '!$G$31,'B1 '!$H$31,IF(AND(L118&lt;='B1 '!$G$30,L118&gt;'B1 '!$G$31),0+(('B1 '!$H$31-'B1 '!$H$30)/('B1 '!$G$31-'B1 '!$G$30))*(L118-'B1 '!$G$30),0))</f>
        <v>135</v>
      </c>
      <c r="N118" s="415"/>
      <c r="O118" s="434"/>
      <c r="P118" s="612"/>
      <c r="Q118" s="436">
        <v>42</v>
      </c>
      <c r="R118" s="436">
        <f>IF(Q118&lt;='B1 '!$L$25,'B1 '!$M$25,IF(AND(Q118&lt;='B1 '!$L$24,Q118&gt;'B1 '!$L$25),0+(('B1 '!$M$25-'B1 '!$M$24)/('B1 '!$L$25-'B1 '!$L$24))*(Q118-'B1 '!$L$24),0))</f>
        <v>24.242424242424242</v>
      </c>
      <c r="S118" s="613"/>
      <c r="T118" s="436"/>
      <c r="U118" s="436"/>
      <c r="V118" s="613"/>
      <c r="W118" s="436">
        <v>210</v>
      </c>
      <c r="X118" s="436">
        <f>IF(W118&lt;='B1 '!$L$29,'B1 '!$M$29,IF(AND(W118&lt;='B1 '!$L$28,W118&gt;'B1 '!$L$29),0+(('B1 '!$M$29-'B1 '!$M$28)/('B1 '!$L$29-'B1 '!$L$28))*(W118-'B1 '!$L$28),0))</f>
        <v>0</v>
      </c>
      <c r="Y118" s="613"/>
      <c r="Z118" s="436">
        <v>21</v>
      </c>
      <c r="AA118" s="436">
        <f>IF(Z118&lt;='B1 '!$L$31,'B1 '!$M$31,IF(AND(Z118&lt;='B1 '!$L$30,Z118&gt;'B1 '!$L$31),0+(('B1 '!$M$31-'B1 '!$M$30)/('B1 '!$L$31-'B1 '!$L$30))*(Z118-'B1 '!$L$30),0))</f>
        <v>135</v>
      </c>
      <c r="AB118" s="183"/>
    </row>
    <row r="119" spans="2:28">
      <c r="B119" s="182"/>
      <c r="C119" s="435"/>
      <c r="D119" s="435"/>
      <c r="E119" s="611"/>
      <c r="F119" s="435"/>
      <c r="G119" s="435"/>
      <c r="H119" s="611"/>
      <c r="I119" s="435"/>
      <c r="J119" s="435"/>
      <c r="K119" s="611"/>
      <c r="L119" s="435">
        <v>21.5</v>
      </c>
      <c r="M119" s="435">
        <f>IF(L119&lt;='B1 '!$G$31,'B1 '!$H$31,IF(AND(L119&lt;='B1 '!$G$30,L119&gt;'B1 '!$G$31),0+(('B1 '!$H$31-'B1 '!$H$30)/('B1 '!$G$31-'B1 '!$G$30))*(L119-'B1 '!$G$30),0))</f>
        <v>135</v>
      </c>
      <c r="N119" s="415"/>
      <c r="O119" s="434"/>
      <c r="P119" s="612"/>
      <c r="Q119" s="436">
        <v>43</v>
      </c>
      <c r="R119" s="436">
        <f>IF(Q119&lt;='B1 '!$L$25,'B1 '!$M$25,IF(AND(Q119&lt;='B1 '!$L$24,Q119&gt;'B1 '!$L$25),0+(('B1 '!$M$25-'B1 '!$M$24)/('B1 '!$L$25-'B1 '!$L$24))*(Q119-'B1 '!$L$24),0))</f>
        <v>22.727272727272727</v>
      </c>
      <c r="S119" s="613"/>
      <c r="T119" s="436"/>
      <c r="U119" s="436"/>
      <c r="V119" s="613"/>
      <c r="W119" s="436"/>
      <c r="X119" s="436"/>
      <c r="Y119" s="613"/>
      <c r="Z119" s="436">
        <v>21.5</v>
      </c>
      <c r="AA119" s="436">
        <f>IF(Z119&lt;='B1 '!$L$31,'B1 '!$M$31,IF(AND(Z119&lt;='B1 '!$L$30,Z119&gt;'B1 '!$L$31),0+(('B1 '!$M$31-'B1 '!$M$30)/('B1 '!$L$31-'B1 '!$L$30))*(Z119-'B1 '!$L$30),0))</f>
        <v>135</v>
      </c>
      <c r="AB119" s="183"/>
    </row>
    <row r="120" spans="2:28">
      <c r="B120" s="182"/>
      <c r="C120" s="435"/>
      <c r="D120" s="435"/>
      <c r="E120" s="611"/>
      <c r="F120" s="435"/>
      <c r="G120" s="435"/>
      <c r="H120" s="611"/>
      <c r="I120" s="435"/>
      <c r="J120" s="435"/>
      <c r="K120" s="611"/>
      <c r="L120" s="435">
        <v>22</v>
      </c>
      <c r="M120" s="435">
        <f>IF(L120&lt;='B1 '!$G$31,'B1 '!$H$31,IF(AND(L120&lt;='B1 '!$G$30,L120&gt;'B1 '!$G$31),0+(('B1 '!$H$31-'B1 '!$H$30)/('B1 '!$G$31-'B1 '!$G$30))*(L120-'B1 '!$G$30),0))</f>
        <v>135</v>
      </c>
      <c r="N120" s="415"/>
      <c r="O120" s="434"/>
      <c r="P120" s="612"/>
      <c r="Q120" s="436">
        <v>44</v>
      </c>
      <c r="R120" s="436">
        <f>IF(Q120&lt;='B1 '!$L$25,'B1 '!$M$25,IF(AND(Q120&lt;='B1 '!$L$24,Q120&gt;'B1 '!$L$25),0+(('B1 '!$M$25-'B1 '!$M$24)/('B1 '!$L$25-'B1 '!$L$24))*(Q120-'B1 '!$L$24),0))</f>
        <v>21.212121212121211</v>
      </c>
      <c r="S120" s="613"/>
      <c r="T120" s="436"/>
      <c r="U120" s="436"/>
      <c r="V120" s="613"/>
      <c r="W120" s="436"/>
      <c r="X120" s="436"/>
      <c r="Y120" s="613"/>
      <c r="Z120" s="436">
        <v>22</v>
      </c>
      <c r="AA120" s="436">
        <f>IF(Z120&lt;='B1 '!$L$31,'B1 '!$M$31,IF(AND(Z120&lt;='B1 '!$L$30,Z120&gt;'B1 '!$L$31),0+(('B1 '!$M$31-'B1 '!$M$30)/('B1 '!$L$31-'B1 '!$L$30))*(Z120-'B1 '!$L$30),0))</f>
        <v>135</v>
      </c>
      <c r="AB120" s="183"/>
    </row>
    <row r="121" spans="2:28">
      <c r="B121" s="182"/>
      <c r="C121" s="435"/>
      <c r="D121" s="435"/>
      <c r="E121" s="611"/>
      <c r="F121" s="435"/>
      <c r="G121" s="435"/>
      <c r="H121" s="611"/>
      <c r="I121" s="435"/>
      <c r="J121" s="435"/>
      <c r="K121" s="611"/>
      <c r="L121" s="435">
        <v>22.5</v>
      </c>
      <c r="M121" s="435">
        <f>IF(L121&lt;='B1 '!$G$31,'B1 '!$H$31,IF(AND(L121&lt;='B1 '!$G$30,L121&gt;'B1 '!$G$31),0+(('B1 '!$H$31-'B1 '!$H$30)/('B1 '!$G$31-'B1 '!$G$30))*(L121-'B1 '!$G$30),0))</f>
        <v>135</v>
      </c>
      <c r="N121" s="415"/>
      <c r="O121" s="434"/>
      <c r="P121" s="612"/>
      <c r="Q121" s="436">
        <v>45</v>
      </c>
      <c r="R121" s="436">
        <f>IF(Q121&lt;='B1 '!$L$25,'B1 '!$M$25,IF(AND(Q121&lt;='B1 '!$L$24,Q121&gt;'B1 '!$L$25),0+(('B1 '!$M$25-'B1 '!$M$24)/('B1 '!$L$25-'B1 '!$L$24))*(Q121-'B1 '!$L$24),0))</f>
        <v>19.696969696969695</v>
      </c>
      <c r="S121" s="613"/>
      <c r="T121" s="436"/>
      <c r="U121" s="436"/>
      <c r="V121" s="613"/>
      <c r="W121" s="436"/>
      <c r="X121" s="436"/>
      <c r="Y121" s="613"/>
      <c r="Z121" s="436">
        <v>22.5</v>
      </c>
      <c r="AA121" s="436">
        <f>IF(Z121&lt;='B1 '!$L$31,'B1 '!$M$31,IF(AND(Z121&lt;='B1 '!$L$30,Z121&gt;'B1 '!$L$31),0+(('B1 '!$M$31-'B1 '!$M$30)/('B1 '!$L$31-'B1 '!$L$30))*(Z121-'B1 '!$L$30),0))</f>
        <v>135</v>
      </c>
      <c r="AB121" s="183"/>
    </row>
    <row r="122" spans="2:28">
      <c r="B122" s="182"/>
      <c r="C122" s="435"/>
      <c r="D122" s="435"/>
      <c r="E122" s="611"/>
      <c r="F122" s="435"/>
      <c r="G122" s="435"/>
      <c r="H122" s="611"/>
      <c r="I122" s="435"/>
      <c r="J122" s="435"/>
      <c r="K122" s="611"/>
      <c r="L122" s="435">
        <v>23</v>
      </c>
      <c r="M122" s="435">
        <f>IF(L122&lt;='B1 '!$G$31,'B1 '!$H$31,IF(AND(L122&lt;='B1 '!$G$30,L122&gt;'B1 '!$G$31),0+(('B1 '!$H$31-'B1 '!$H$30)/('B1 '!$G$31-'B1 '!$G$30))*(L122-'B1 '!$G$30),0))</f>
        <v>135</v>
      </c>
      <c r="N122" s="415"/>
      <c r="O122" s="434"/>
      <c r="P122" s="612"/>
      <c r="Q122" s="436">
        <v>46</v>
      </c>
      <c r="R122" s="436">
        <f>IF(Q122&lt;='B1 '!$L$25,'B1 '!$M$25,IF(AND(Q122&lt;='B1 '!$L$24,Q122&gt;'B1 '!$L$25),0+(('B1 '!$M$25-'B1 '!$M$24)/('B1 '!$L$25-'B1 '!$L$24))*(Q122-'B1 '!$L$24),0))</f>
        <v>18.18181818181818</v>
      </c>
      <c r="S122" s="613"/>
      <c r="T122" s="436"/>
      <c r="U122" s="436"/>
      <c r="V122" s="613"/>
      <c r="W122" s="436"/>
      <c r="X122" s="436"/>
      <c r="Y122" s="613"/>
      <c r="Z122" s="436">
        <v>23</v>
      </c>
      <c r="AA122" s="436">
        <f>IF(Z122&lt;='B1 '!$L$31,'B1 '!$M$31,IF(AND(Z122&lt;='B1 '!$L$30,Z122&gt;'B1 '!$L$31),0+(('B1 '!$M$31-'B1 '!$M$30)/('B1 '!$L$31-'B1 '!$L$30))*(Z122-'B1 '!$L$30),0))</f>
        <v>135</v>
      </c>
      <c r="AB122" s="183"/>
    </row>
    <row r="123" spans="2:28">
      <c r="B123" s="182"/>
      <c r="C123" s="435"/>
      <c r="D123" s="435"/>
      <c r="E123" s="611"/>
      <c r="F123" s="435"/>
      <c r="G123" s="435"/>
      <c r="H123" s="611"/>
      <c r="I123" s="435"/>
      <c r="J123" s="435"/>
      <c r="K123" s="611"/>
      <c r="L123" s="435">
        <v>23.5</v>
      </c>
      <c r="M123" s="435">
        <f>IF(L123&lt;='B1 '!$G$31,'B1 '!$H$31,IF(AND(L123&lt;='B1 '!$G$30,L123&gt;'B1 '!$G$31),0+(('B1 '!$H$31-'B1 '!$H$30)/('B1 '!$G$31-'B1 '!$G$30))*(L123-'B1 '!$G$30),0))</f>
        <v>135</v>
      </c>
      <c r="N123" s="415"/>
      <c r="O123" s="434"/>
      <c r="P123" s="612"/>
      <c r="Q123" s="436">
        <v>47</v>
      </c>
      <c r="R123" s="436">
        <f>IF(Q123&lt;='B1 '!$L$25,'B1 '!$M$25,IF(AND(Q123&lt;='B1 '!$L$24,Q123&gt;'B1 '!$L$25),0+(('B1 '!$M$25-'B1 '!$M$24)/('B1 '!$L$25-'B1 '!$L$24))*(Q123-'B1 '!$L$24),0))</f>
        <v>16.666666666666668</v>
      </c>
      <c r="S123" s="613"/>
      <c r="T123" s="436"/>
      <c r="U123" s="436"/>
      <c r="V123" s="613"/>
      <c r="W123" s="436"/>
      <c r="X123" s="436"/>
      <c r="Y123" s="613"/>
      <c r="Z123" s="436">
        <v>23.5</v>
      </c>
      <c r="AA123" s="436">
        <f>IF(Z123&lt;='B1 '!$L$31,'B1 '!$M$31,IF(AND(Z123&lt;='B1 '!$L$30,Z123&gt;'B1 '!$L$31),0+(('B1 '!$M$31-'B1 '!$M$30)/('B1 '!$L$31-'B1 '!$L$30))*(Z123-'B1 '!$L$30),0))</f>
        <v>135</v>
      </c>
      <c r="AB123" s="183"/>
    </row>
    <row r="124" spans="2:28">
      <c r="B124" s="182"/>
      <c r="C124" s="435"/>
      <c r="D124" s="435"/>
      <c r="E124" s="611"/>
      <c r="F124" s="435"/>
      <c r="G124" s="435"/>
      <c r="H124" s="611"/>
      <c r="I124" s="435"/>
      <c r="J124" s="435"/>
      <c r="K124" s="611"/>
      <c r="L124" s="435">
        <v>24</v>
      </c>
      <c r="M124" s="435">
        <f>IF(L124&lt;='B1 '!$G$31,'B1 '!$H$31,IF(AND(L124&lt;='B1 '!$G$30,L124&gt;'B1 '!$G$31),0+(('B1 '!$H$31-'B1 '!$H$30)/('B1 '!$G$31-'B1 '!$G$30))*(L124-'B1 '!$G$30),0))</f>
        <v>135</v>
      </c>
      <c r="N124" s="415"/>
      <c r="O124" s="434"/>
      <c r="P124" s="612"/>
      <c r="Q124" s="436">
        <v>48</v>
      </c>
      <c r="R124" s="436">
        <f>IF(Q124&lt;='B1 '!$L$25,'B1 '!$M$25,IF(AND(Q124&lt;='B1 '!$L$24,Q124&gt;'B1 '!$L$25),0+(('B1 '!$M$25-'B1 '!$M$24)/('B1 '!$L$25-'B1 '!$L$24))*(Q124-'B1 '!$L$24),0))</f>
        <v>15.151515151515152</v>
      </c>
      <c r="S124" s="613"/>
      <c r="T124" s="436"/>
      <c r="U124" s="436"/>
      <c r="V124" s="613"/>
      <c r="W124" s="436"/>
      <c r="X124" s="436"/>
      <c r="Y124" s="613"/>
      <c r="Z124" s="436">
        <v>24</v>
      </c>
      <c r="AA124" s="436">
        <f>IF(Z124&lt;='B1 '!$L$31,'B1 '!$M$31,IF(AND(Z124&lt;='B1 '!$L$30,Z124&gt;'B1 '!$L$31),0+(('B1 '!$M$31-'B1 '!$M$30)/('B1 '!$L$31-'B1 '!$L$30))*(Z124-'B1 '!$L$30),0))</f>
        <v>135</v>
      </c>
      <c r="AB124" s="183"/>
    </row>
    <row r="125" spans="2:28">
      <c r="B125" s="182"/>
      <c r="C125" s="435"/>
      <c r="D125" s="435"/>
      <c r="E125" s="611"/>
      <c r="F125" s="435"/>
      <c r="G125" s="435"/>
      <c r="H125" s="611"/>
      <c r="I125" s="435"/>
      <c r="J125" s="435"/>
      <c r="K125" s="611"/>
      <c r="L125" s="435">
        <v>24.5</v>
      </c>
      <c r="M125" s="435">
        <f>IF(L125&lt;='B1 '!$G$31,'B1 '!$H$31,IF(AND(L125&lt;='B1 '!$G$30,L125&gt;'B1 '!$G$31),0+(('B1 '!$H$31-'B1 '!$H$30)/('B1 '!$G$31-'B1 '!$G$30))*(L125-'B1 '!$G$30),0))</f>
        <v>135</v>
      </c>
      <c r="N125" s="415"/>
      <c r="O125" s="434"/>
      <c r="P125" s="612"/>
      <c r="Q125" s="436">
        <v>49</v>
      </c>
      <c r="R125" s="436">
        <f>IF(Q125&lt;='B1 '!$L$25,'B1 '!$M$25,IF(AND(Q125&lt;='B1 '!$L$24,Q125&gt;'B1 '!$L$25),0+(('B1 '!$M$25-'B1 '!$M$24)/('B1 '!$L$25-'B1 '!$L$24))*(Q125-'B1 '!$L$24),0))</f>
        <v>13.636363636363637</v>
      </c>
      <c r="S125" s="613"/>
      <c r="T125" s="436"/>
      <c r="U125" s="436"/>
      <c r="V125" s="613"/>
      <c r="W125" s="436"/>
      <c r="X125" s="436"/>
      <c r="Y125" s="613"/>
      <c r="Z125" s="436">
        <v>24.5</v>
      </c>
      <c r="AA125" s="436">
        <f>IF(Z125&lt;='B1 '!$L$31,'B1 '!$M$31,IF(AND(Z125&lt;='B1 '!$L$30,Z125&gt;'B1 '!$L$31),0+(('B1 '!$M$31-'B1 '!$M$30)/('B1 '!$L$31-'B1 '!$L$30))*(Z125-'B1 '!$L$30),0))</f>
        <v>135</v>
      </c>
      <c r="AB125" s="183"/>
    </row>
    <row r="126" spans="2:28">
      <c r="B126" s="182"/>
      <c r="C126" s="435"/>
      <c r="D126" s="435"/>
      <c r="E126" s="611"/>
      <c r="F126" s="435"/>
      <c r="G126" s="435"/>
      <c r="H126" s="611"/>
      <c r="I126" s="435"/>
      <c r="J126" s="435"/>
      <c r="K126" s="611"/>
      <c r="L126" s="435">
        <v>25</v>
      </c>
      <c r="M126" s="435">
        <f>IF(L126&lt;='B1 '!$G$31,'B1 '!$H$31,IF(AND(L126&lt;='B1 '!$G$30,L126&gt;'B1 '!$G$31),0+(('B1 '!$H$31-'B1 '!$H$30)/('B1 '!$G$31-'B1 '!$G$30))*(L126-'B1 '!$G$30),0))</f>
        <v>135</v>
      </c>
      <c r="N126" s="415"/>
      <c r="O126" s="434"/>
      <c r="P126" s="612"/>
      <c r="Q126" s="436">
        <v>50</v>
      </c>
      <c r="R126" s="436">
        <f>IF(Q126&lt;='B1 '!$L$25,'B1 '!$M$25,IF(AND(Q126&lt;='B1 '!$L$24,Q126&gt;'B1 '!$L$25),0+(('B1 '!$M$25-'B1 '!$M$24)/('B1 '!$L$25-'B1 '!$L$24))*(Q126-'B1 '!$L$24),0))</f>
        <v>12.121212121212121</v>
      </c>
      <c r="S126" s="613"/>
      <c r="T126" s="436"/>
      <c r="U126" s="436"/>
      <c r="V126" s="613"/>
      <c r="W126" s="436"/>
      <c r="X126" s="436"/>
      <c r="Y126" s="613"/>
      <c r="Z126" s="436">
        <v>25</v>
      </c>
      <c r="AA126" s="436">
        <f>IF(Z126&lt;='B1 '!$L$31,'B1 '!$M$31,IF(AND(Z126&lt;='B1 '!$L$30,Z126&gt;'B1 '!$L$31),0+(('B1 '!$M$31-'B1 '!$M$30)/('B1 '!$L$31-'B1 '!$L$30))*(Z126-'B1 '!$L$30),0))</f>
        <v>135</v>
      </c>
      <c r="AB126" s="183"/>
    </row>
    <row r="127" spans="2:28">
      <c r="B127" s="182"/>
      <c r="C127" s="435"/>
      <c r="D127" s="435"/>
      <c r="E127" s="611"/>
      <c r="F127" s="435"/>
      <c r="G127" s="435"/>
      <c r="H127" s="611"/>
      <c r="I127" s="435"/>
      <c r="J127" s="435"/>
      <c r="K127" s="611"/>
      <c r="L127" s="435">
        <v>25.5</v>
      </c>
      <c r="M127" s="435">
        <f>IF(L127&lt;='B1 '!$G$31,'B1 '!$H$31,IF(AND(L127&lt;='B1 '!$G$30,L127&gt;'B1 '!$G$31),0+(('B1 '!$H$31-'B1 '!$H$30)/('B1 '!$G$31-'B1 '!$G$30))*(L127-'B1 '!$G$30),0))</f>
        <v>135</v>
      </c>
      <c r="N127" s="415"/>
      <c r="O127" s="434"/>
      <c r="P127" s="612"/>
      <c r="Q127" s="436">
        <v>51</v>
      </c>
      <c r="R127" s="436">
        <f>IF(Q127&lt;='B1 '!$L$25,'B1 '!$M$25,IF(AND(Q127&lt;='B1 '!$L$24,Q127&gt;'B1 '!$L$25),0+(('B1 '!$M$25-'B1 '!$M$24)/('B1 '!$L$25-'B1 '!$L$24))*(Q127-'B1 '!$L$24),0))</f>
        <v>10.606060606060606</v>
      </c>
      <c r="S127" s="613"/>
      <c r="T127" s="436"/>
      <c r="U127" s="436"/>
      <c r="V127" s="613"/>
      <c r="W127" s="436"/>
      <c r="X127" s="436"/>
      <c r="Y127" s="613"/>
      <c r="Z127" s="436">
        <v>25.5</v>
      </c>
      <c r="AA127" s="436">
        <f>IF(Z127&lt;='B1 '!$L$31,'B1 '!$M$31,IF(AND(Z127&lt;='B1 '!$L$30,Z127&gt;'B1 '!$L$31),0+(('B1 '!$M$31-'B1 '!$M$30)/('B1 '!$L$31-'B1 '!$L$30))*(Z127-'B1 '!$L$30),0))</f>
        <v>135</v>
      </c>
      <c r="AB127" s="183"/>
    </row>
    <row r="128" spans="2:28">
      <c r="B128" s="182"/>
      <c r="C128" s="435"/>
      <c r="D128" s="435"/>
      <c r="E128" s="611"/>
      <c r="F128" s="435"/>
      <c r="G128" s="435"/>
      <c r="H128" s="611"/>
      <c r="I128" s="435"/>
      <c r="J128" s="435"/>
      <c r="K128" s="611"/>
      <c r="L128" s="435">
        <v>26</v>
      </c>
      <c r="M128" s="435">
        <f>IF(L128&lt;='B1 '!$G$31,'B1 '!$H$31,IF(AND(L128&lt;='B1 '!$G$30,L128&gt;'B1 '!$G$31),0+(('B1 '!$H$31-'B1 '!$H$30)/('B1 '!$G$31-'B1 '!$G$30))*(L128-'B1 '!$G$30),0))</f>
        <v>127.89473684210527</v>
      </c>
      <c r="N128" s="415"/>
      <c r="O128" s="434"/>
      <c r="P128" s="612"/>
      <c r="Q128" s="436">
        <v>52</v>
      </c>
      <c r="R128" s="436">
        <f>IF(Q128&lt;='B1 '!$L$25,'B1 '!$M$25,IF(AND(Q128&lt;='B1 '!$L$24,Q128&gt;'B1 '!$L$25),0+(('B1 '!$M$25-'B1 '!$M$24)/('B1 '!$L$25-'B1 '!$L$24))*(Q128-'B1 '!$L$24),0))</f>
        <v>9.0909090909090899</v>
      </c>
      <c r="S128" s="613"/>
      <c r="T128" s="436"/>
      <c r="U128" s="436"/>
      <c r="V128" s="613"/>
      <c r="W128" s="436"/>
      <c r="X128" s="436"/>
      <c r="Y128" s="613"/>
      <c r="Z128" s="436">
        <v>26</v>
      </c>
      <c r="AA128" s="436">
        <f>IF(Z128&lt;='B1 '!$L$31,'B1 '!$M$31,IF(AND(Z128&lt;='B1 '!$L$30,Z128&gt;'B1 '!$L$31),0+(('B1 '!$M$31-'B1 '!$M$30)/('B1 '!$L$31-'B1 '!$L$30))*(Z128-'B1 '!$L$30),0))</f>
        <v>135</v>
      </c>
      <c r="AB128" s="183"/>
    </row>
    <row r="129" spans="2:28">
      <c r="B129" s="182"/>
      <c r="C129" s="435"/>
      <c r="D129" s="435"/>
      <c r="E129" s="611"/>
      <c r="F129" s="435"/>
      <c r="G129" s="435"/>
      <c r="H129" s="611"/>
      <c r="I129" s="435"/>
      <c r="J129" s="435"/>
      <c r="K129" s="611"/>
      <c r="L129" s="435">
        <v>26.5</v>
      </c>
      <c r="M129" s="435">
        <f>IF(L129&lt;='B1 '!$G$31,'B1 '!$H$31,IF(AND(L129&lt;='B1 '!$G$30,L129&gt;'B1 '!$G$31),0+(('B1 '!$H$31-'B1 '!$H$30)/('B1 '!$G$31-'B1 '!$G$30))*(L129-'B1 '!$G$30),0))</f>
        <v>120.78947368421053</v>
      </c>
      <c r="N129" s="415"/>
      <c r="O129" s="434"/>
      <c r="P129" s="612"/>
      <c r="Q129" s="436">
        <v>53</v>
      </c>
      <c r="R129" s="436">
        <f>IF(Q129&lt;='B1 '!$L$25,'B1 '!$M$25,IF(AND(Q129&lt;='B1 '!$L$24,Q129&gt;'B1 '!$L$25),0+(('B1 '!$M$25-'B1 '!$M$24)/('B1 '!$L$25-'B1 '!$L$24))*(Q129-'B1 '!$L$24),0))</f>
        <v>7.5757575757575761</v>
      </c>
      <c r="S129" s="613"/>
      <c r="T129" s="436"/>
      <c r="U129" s="436"/>
      <c r="V129" s="613"/>
      <c r="W129" s="436"/>
      <c r="X129" s="436"/>
      <c r="Y129" s="613"/>
      <c r="Z129" s="436">
        <v>26.5</v>
      </c>
      <c r="AA129" s="436">
        <f>IF(Z129&lt;='B1 '!$L$31,'B1 '!$M$31,IF(AND(Z129&lt;='B1 '!$L$30,Z129&gt;'B1 '!$L$31),0+(('B1 '!$M$31-'B1 '!$M$30)/('B1 '!$L$31-'B1 '!$L$30))*(Z129-'B1 '!$L$30),0))</f>
        <v>135</v>
      </c>
      <c r="AB129" s="183"/>
    </row>
    <row r="130" spans="2:28">
      <c r="B130" s="182"/>
      <c r="C130" s="435"/>
      <c r="D130" s="435"/>
      <c r="E130" s="611"/>
      <c r="F130" s="435"/>
      <c r="G130" s="435"/>
      <c r="H130" s="611"/>
      <c r="I130" s="435"/>
      <c r="J130" s="435"/>
      <c r="K130" s="611"/>
      <c r="L130" s="435">
        <v>27</v>
      </c>
      <c r="M130" s="435">
        <f>IF(L130&lt;='B1 '!$G$31,'B1 '!$H$31,IF(AND(L130&lt;='B1 '!$G$30,L130&gt;'B1 '!$G$31),0+(('B1 '!$H$31-'B1 '!$H$30)/('B1 '!$G$31-'B1 '!$G$30))*(L130-'B1 '!$G$30),0))</f>
        <v>113.68421052631579</v>
      </c>
      <c r="N130" s="415"/>
      <c r="O130" s="434"/>
      <c r="P130" s="612"/>
      <c r="Q130" s="436">
        <v>54</v>
      </c>
      <c r="R130" s="436">
        <f>IF(Q130&lt;='B1 '!$L$25,'B1 '!$M$25,IF(AND(Q130&lt;='B1 '!$L$24,Q130&gt;'B1 '!$L$25),0+(('B1 '!$M$25-'B1 '!$M$24)/('B1 '!$L$25-'B1 '!$L$24))*(Q130-'B1 '!$L$24),0))</f>
        <v>6.0606060606060606</v>
      </c>
      <c r="S130" s="613"/>
      <c r="T130" s="436"/>
      <c r="U130" s="436"/>
      <c r="V130" s="613"/>
      <c r="W130" s="436"/>
      <c r="X130" s="436"/>
      <c r="Y130" s="613"/>
      <c r="Z130" s="436">
        <v>27</v>
      </c>
      <c r="AA130" s="436">
        <f>IF(Z130&lt;='B1 '!$L$31,'B1 '!$M$31,IF(AND(Z130&lt;='B1 '!$L$30,Z130&gt;'B1 '!$L$31),0+(('B1 '!$M$31-'B1 '!$M$30)/('B1 '!$L$31-'B1 '!$L$30))*(Z130-'B1 '!$L$30),0))</f>
        <v>135</v>
      </c>
      <c r="AB130" s="183"/>
    </row>
    <row r="131" spans="2:28">
      <c r="B131" s="182"/>
      <c r="C131" s="435"/>
      <c r="D131" s="435"/>
      <c r="E131" s="611"/>
      <c r="F131" s="435"/>
      <c r="G131" s="435"/>
      <c r="H131" s="611"/>
      <c r="I131" s="435"/>
      <c r="J131" s="435"/>
      <c r="K131" s="611"/>
      <c r="L131" s="435">
        <v>27.5</v>
      </c>
      <c r="M131" s="435">
        <f>IF(L131&lt;='B1 '!$G$31,'B1 '!$H$31,IF(AND(L131&lt;='B1 '!$G$30,L131&gt;'B1 '!$G$31),0+(('B1 '!$H$31-'B1 '!$H$30)/('B1 '!$G$31-'B1 '!$G$30))*(L131-'B1 '!$G$30),0))</f>
        <v>106.57894736842105</v>
      </c>
      <c r="N131" s="415"/>
      <c r="O131" s="434"/>
      <c r="P131" s="612"/>
      <c r="Q131" s="436">
        <v>55</v>
      </c>
      <c r="R131" s="436">
        <f>IF(Q131&lt;='B1 '!$L$25,'B1 '!$M$25,IF(AND(Q131&lt;='B1 '!$L$24,Q131&gt;'B1 '!$L$25),0+(('B1 '!$M$25-'B1 '!$M$24)/('B1 '!$L$25-'B1 '!$L$24))*(Q131-'B1 '!$L$24),0))</f>
        <v>4.545454545454545</v>
      </c>
      <c r="S131" s="613"/>
      <c r="T131" s="436"/>
      <c r="U131" s="436"/>
      <c r="V131" s="613"/>
      <c r="W131" s="436"/>
      <c r="X131" s="436"/>
      <c r="Y131" s="613"/>
      <c r="Z131" s="436">
        <v>27.5</v>
      </c>
      <c r="AA131" s="436">
        <f>IF(Z131&lt;='B1 '!$L$31,'B1 '!$M$31,IF(AND(Z131&lt;='B1 '!$L$30,Z131&gt;'B1 '!$L$31),0+(('B1 '!$M$31-'B1 '!$M$30)/('B1 '!$L$31-'B1 '!$L$30))*(Z131-'B1 '!$L$30),0))</f>
        <v>135</v>
      </c>
      <c r="AB131" s="183"/>
    </row>
    <row r="132" spans="2:28">
      <c r="B132" s="182"/>
      <c r="C132" s="435"/>
      <c r="D132" s="435"/>
      <c r="E132" s="611"/>
      <c r="F132" s="435"/>
      <c r="G132" s="435"/>
      <c r="H132" s="611"/>
      <c r="I132" s="435"/>
      <c r="J132" s="435"/>
      <c r="K132" s="611"/>
      <c r="L132" s="435">
        <v>28</v>
      </c>
      <c r="M132" s="435">
        <f>IF(L132&lt;='B1 '!$G$31,'B1 '!$H$31,IF(AND(L132&lt;='B1 '!$G$30,L132&gt;'B1 '!$G$31),0+(('B1 '!$H$31-'B1 '!$H$30)/('B1 '!$G$31-'B1 '!$G$30))*(L132-'B1 '!$G$30),0))</f>
        <v>99.473684210526315</v>
      </c>
      <c r="N132" s="415"/>
      <c r="O132" s="434"/>
      <c r="P132" s="612"/>
      <c r="Q132" s="436">
        <v>56</v>
      </c>
      <c r="R132" s="436">
        <f>IF(Q132&lt;='B1 '!$L$25,'B1 '!$M$25,IF(AND(Q132&lt;='B1 '!$L$24,Q132&gt;'B1 '!$L$25),0+(('B1 '!$M$25-'B1 '!$M$24)/('B1 '!$L$25-'B1 '!$L$24))*(Q132-'B1 '!$L$24),0))</f>
        <v>3.0303030303030303</v>
      </c>
      <c r="S132" s="613"/>
      <c r="T132" s="436"/>
      <c r="U132" s="436"/>
      <c r="V132" s="613"/>
      <c r="W132" s="436"/>
      <c r="X132" s="436"/>
      <c r="Y132" s="613"/>
      <c r="Z132" s="436">
        <v>28</v>
      </c>
      <c r="AA132" s="436">
        <f>IF(Z132&lt;='B1 '!$L$31,'B1 '!$M$31,IF(AND(Z132&lt;='B1 '!$L$30,Z132&gt;'B1 '!$L$31),0+(('B1 '!$M$31-'B1 '!$M$30)/('B1 '!$L$31-'B1 '!$L$30))*(Z132-'B1 '!$L$30),0))</f>
        <v>135</v>
      </c>
      <c r="AB132" s="183"/>
    </row>
    <row r="133" spans="2:28">
      <c r="B133" s="182"/>
      <c r="C133" s="435"/>
      <c r="D133" s="435"/>
      <c r="E133" s="611"/>
      <c r="F133" s="435"/>
      <c r="G133" s="435"/>
      <c r="H133" s="611"/>
      <c r="I133" s="435"/>
      <c r="J133" s="435"/>
      <c r="K133" s="611"/>
      <c r="L133" s="435">
        <v>28.5</v>
      </c>
      <c r="M133" s="435">
        <f>IF(L133&lt;='B1 '!$G$31,'B1 '!$H$31,IF(AND(L133&lt;='B1 '!$G$30,L133&gt;'B1 '!$G$31),0+(('B1 '!$H$31-'B1 '!$H$30)/('B1 '!$G$31-'B1 '!$G$30))*(L133-'B1 '!$G$30),0))</f>
        <v>92.368421052631589</v>
      </c>
      <c r="N133" s="415"/>
      <c r="O133" s="434"/>
      <c r="P133" s="612"/>
      <c r="Q133" s="436">
        <v>57</v>
      </c>
      <c r="R133" s="436">
        <f>IF(Q133&lt;='B1 '!$L$25,'B1 '!$M$25,IF(AND(Q133&lt;='B1 '!$L$24,Q133&gt;'B1 '!$L$25),0+(('B1 '!$M$25-'B1 '!$M$24)/('B1 '!$L$25-'B1 '!$L$24))*(Q133-'B1 '!$L$24),0))</f>
        <v>1.5151515151515151</v>
      </c>
      <c r="S133" s="613"/>
      <c r="T133" s="436"/>
      <c r="U133" s="436"/>
      <c r="V133" s="613"/>
      <c r="W133" s="436"/>
      <c r="X133" s="436"/>
      <c r="Y133" s="613"/>
      <c r="Z133" s="436">
        <v>28.5</v>
      </c>
      <c r="AA133" s="436">
        <f>IF(Z133&lt;='B1 '!$L$31,'B1 '!$M$31,IF(AND(Z133&lt;='B1 '!$L$30,Z133&gt;'B1 '!$L$31),0+(('B1 '!$M$31-'B1 '!$M$30)/('B1 '!$L$31-'B1 '!$L$30))*(Z133-'B1 '!$L$30),0))</f>
        <v>135</v>
      </c>
      <c r="AB133" s="183"/>
    </row>
    <row r="134" spans="2:28">
      <c r="B134" s="182"/>
      <c r="C134" s="435"/>
      <c r="D134" s="435"/>
      <c r="E134" s="611"/>
      <c r="F134" s="435"/>
      <c r="G134" s="435"/>
      <c r="H134" s="611"/>
      <c r="I134" s="435"/>
      <c r="J134" s="435"/>
      <c r="K134" s="611"/>
      <c r="L134" s="435">
        <v>29</v>
      </c>
      <c r="M134" s="435">
        <f>IF(L134&lt;='B1 '!$G$31,'B1 '!$H$31,IF(AND(L134&lt;='B1 '!$G$30,L134&gt;'B1 '!$G$31),0+(('B1 '!$H$31-'B1 '!$H$30)/('B1 '!$G$31-'B1 '!$G$30))*(L134-'B1 '!$G$30),0))</f>
        <v>85.26315789473685</v>
      </c>
      <c r="N134" s="415"/>
      <c r="O134" s="434"/>
      <c r="P134" s="612"/>
      <c r="Q134" s="436">
        <v>58</v>
      </c>
      <c r="R134" s="436">
        <f>IF(Q134&lt;='B1 '!$L$25,'B1 '!$M$25,IF(AND(Q134&lt;='B1 '!$L$24,Q134&gt;'B1 '!$L$25),0+(('B1 '!$M$25-'B1 '!$M$24)/('B1 '!$L$25-'B1 '!$L$24))*(Q134-'B1 '!$L$24),0))</f>
        <v>0</v>
      </c>
      <c r="S134" s="613"/>
      <c r="T134" s="436"/>
      <c r="U134" s="436"/>
      <c r="V134" s="613"/>
      <c r="W134" s="436"/>
      <c r="X134" s="436"/>
      <c r="Y134" s="613"/>
      <c r="Z134" s="436">
        <v>29</v>
      </c>
      <c r="AA134" s="436">
        <f>IF(Z134&lt;='B1 '!$L$31,'B1 '!$M$31,IF(AND(Z134&lt;='B1 '!$L$30,Z134&gt;'B1 '!$L$31),0+(('B1 '!$M$31-'B1 '!$M$30)/('B1 '!$L$31-'B1 '!$L$30))*(Z134-'B1 '!$L$30),0))</f>
        <v>130.90909090909091</v>
      </c>
      <c r="AB134" s="183"/>
    </row>
    <row r="135" spans="2:28">
      <c r="B135" s="182"/>
      <c r="C135" s="435"/>
      <c r="D135" s="435"/>
      <c r="E135" s="611"/>
      <c r="F135" s="435"/>
      <c r="G135" s="435"/>
      <c r="H135" s="611"/>
      <c r="I135" s="435"/>
      <c r="J135" s="435"/>
      <c r="K135" s="611"/>
      <c r="L135" s="435">
        <v>29.5</v>
      </c>
      <c r="M135" s="435">
        <f>IF(L135&lt;='B1 '!$G$31,'B1 '!$H$31,IF(AND(L135&lt;='B1 '!$G$30,L135&gt;'B1 '!$G$31),0+(('B1 '!$H$31-'B1 '!$H$30)/('B1 '!$G$31-'B1 '!$G$30))*(L135-'B1 '!$G$30),0))</f>
        <v>78.15789473684211</v>
      </c>
      <c r="N135" s="415"/>
      <c r="O135" s="434"/>
      <c r="P135" s="612"/>
      <c r="Q135" s="436">
        <v>59</v>
      </c>
      <c r="R135" s="436">
        <f>IF(Q135&lt;='B1 '!$L$25,'B1 '!$M$25,IF(AND(Q135&lt;='B1 '!$L$24,Q135&gt;'B1 '!$L$25),0+(('B1 '!$M$25-'B1 '!$M$24)/('B1 '!$L$25-'B1 '!$L$24))*(Q135-'B1 '!$L$24),0))</f>
        <v>0</v>
      </c>
      <c r="S135" s="613"/>
      <c r="T135" s="436"/>
      <c r="U135" s="436"/>
      <c r="V135" s="613"/>
      <c r="W135" s="436"/>
      <c r="X135" s="436"/>
      <c r="Y135" s="613"/>
      <c r="Z135" s="436">
        <v>29.5</v>
      </c>
      <c r="AA135" s="436">
        <f>IF(Z135&lt;='B1 '!$L$31,'B1 '!$M$31,IF(AND(Z135&lt;='B1 '!$L$30,Z135&gt;'B1 '!$L$31),0+(('B1 '!$M$31-'B1 '!$M$30)/('B1 '!$L$31-'B1 '!$L$30))*(Z135-'B1 '!$L$30),0))</f>
        <v>126.81818181818181</v>
      </c>
      <c r="AB135" s="183"/>
    </row>
    <row r="136" spans="2:28">
      <c r="B136" s="182"/>
      <c r="C136" s="435"/>
      <c r="D136" s="435"/>
      <c r="E136" s="611"/>
      <c r="F136" s="435"/>
      <c r="G136" s="435"/>
      <c r="H136" s="611"/>
      <c r="I136" s="435"/>
      <c r="J136" s="435"/>
      <c r="K136" s="611"/>
      <c r="L136" s="435">
        <v>30</v>
      </c>
      <c r="M136" s="435">
        <f>IF(L136&lt;='B1 '!$G$31,'B1 '!$H$31,IF(AND(L136&lt;='B1 '!$G$30,L136&gt;'B1 '!$G$31),0+(('B1 '!$H$31-'B1 '!$H$30)/('B1 '!$G$31-'B1 '!$G$30))*(L136-'B1 '!$G$30),0))</f>
        <v>71.05263157894737</v>
      </c>
      <c r="N136" s="415"/>
      <c r="O136" s="434"/>
      <c r="P136" s="612"/>
      <c r="Q136" s="436">
        <v>60</v>
      </c>
      <c r="R136" s="436">
        <f>IF(Q136&lt;='B1 '!$L$25,'B1 '!$M$25,IF(AND(Q136&lt;='B1 '!$L$24,Q136&gt;'B1 '!$L$25),0+(('B1 '!$M$25-'B1 '!$M$24)/('B1 '!$L$25-'B1 '!$L$24))*(Q136-'B1 '!$L$24),0))</f>
        <v>0</v>
      </c>
      <c r="S136" s="613"/>
      <c r="T136" s="436"/>
      <c r="U136" s="436"/>
      <c r="V136" s="613"/>
      <c r="W136" s="436"/>
      <c r="X136" s="436"/>
      <c r="Y136" s="613"/>
      <c r="Z136" s="436">
        <v>30</v>
      </c>
      <c r="AA136" s="436">
        <f>IF(Z136&lt;='B1 '!$L$31,'B1 '!$M$31,IF(AND(Z136&lt;='B1 '!$L$30,Z136&gt;'B1 '!$L$31),0+(('B1 '!$M$31-'B1 '!$M$30)/('B1 '!$L$31-'B1 '!$L$30))*(Z136-'B1 '!$L$30),0))</f>
        <v>122.72727272727272</v>
      </c>
      <c r="AB136" s="183"/>
    </row>
    <row r="137" spans="2:28">
      <c r="B137" s="182"/>
      <c r="C137" s="435"/>
      <c r="D137" s="435"/>
      <c r="E137" s="611"/>
      <c r="F137" s="435"/>
      <c r="G137" s="435"/>
      <c r="H137" s="611"/>
      <c r="I137" s="435"/>
      <c r="J137" s="435"/>
      <c r="K137" s="611"/>
      <c r="L137" s="435">
        <v>30.5</v>
      </c>
      <c r="M137" s="435">
        <f>IF(L137&lt;='B1 '!$G$31,'B1 '!$H$31,IF(AND(L137&lt;='B1 '!$G$30,L137&gt;'B1 '!$G$31),0+(('B1 '!$H$31-'B1 '!$H$30)/('B1 '!$G$31-'B1 '!$G$30))*(L137-'B1 '!$G$30),0))</f>
        <v>63.947368421052637</v>
      </c>
      <c r="N137" s="415"/>
      <c r="O137" s="434"/>
      <c r="P137" s="612"/>
      <c r="Q137" s="436">
        <v>61</v>
      </c>
      <c r="R137" s="436">
        <f>IF(Q137&lt;='B1 '!$L$25,'B1 '!$M$25,IF(AND(Q137&lt;='B1 '!$L$24,Q137&gt;'B1 '!$L$25),0+(('B1 '!$M$25-'B1 '!$M$24)/('B1 '!$L$25-'B1 '!$L$24))*(Q137-'B1 '!$L$24),0))</f>
        <v>0</v>
      </c>
      <c r="S137" s="613"/>
      <c r="T137" s="436"/>
      <c r="U137" s="436"/>
      <c r="V137" s="613"/>
      <c r="W137" s="436"/>
      <c r="X137" s="436"/>
      <c r="Y137" s="613"/>
      <c r="Z137" s="436">
        <v>30.5</v>
      </c>
      <c r="AA137" s="436">
        <f>IF(Z137&lt;='B1 '!$L$31,'B1 '!$M$31,IF(AND(Z137&lt;='B1 '!$L$30,Z137&gt;'B1 '!$L$31),0+(('B1 '!$M$31-'B1 '!$M$30)/('B1 '!$L$31-'B1 '!$L$30))*(Z137-'B1 '!$L$30),0))</f>
        <v>118.63636363636364</v>
      </c>
      <c r="AB137" s="183"/>
    </row>
    <row r="138" spans="2:28">
      <c r="B138" s="182"/>
      <c r="C138" s="435"/>
      <c r="D138" s="435"/>
      <c r="E138" s="415"/>
      <c r="F138" s="435"/>
      <c r="G138" s="435"/>
      <c r="H138" s="415"/>
      <c r="I138" s="435"/>
      <c r="J138" s="435"/>
      <c r="K138" s="415"/>
      <c r="L138" s="435">
        <v>31</v>
      </c>
      <c r="M138" s="435">
        <f>IF(L138&lt;='B1 '!$G$31,'B1 '!$H$31,IF(AND(L138&lt;='B1 '!$G$30,L138&gt;'B1 '!$G$31),0+(('B1 '!$H$31-'B1 '!$H$30)/('B1 '!$G$31-'B1 '!$G$30))*(L138-'B1 '!$G$30),0))</f>
        <v>56.842105263157897</v>
      </c>
      <c r="N138" s="415"/>
      <c r="O138" s="434"/>
      <c r="P138" s="612"/>
      <c r="Q138" s="436">
        <v>62</v>
      </c>
      <c r="R138" s="436">
        <f>IF(Q138&lt;='B1 '!$L$25,'B1 '!$M$25,IF(AND(Q138&lt;='B1 '!$L$24,Q138&gt;'B1 '!$L$25),0+(('B1 '!$M$25-'B1 '!$M$24)/('B1 '!$L$25-'B1 '!$L$24))*(Q138-'B1 '!$L$24),0))</f>
        <v>0</v>
      </c>
      <c r="S138" s="612"/>
      <c r="T138" s="436"/>
      <c r="U138" s="436"/>
      <c r="V138" s="614"/>
      <c r="W138" s="436"/>
      <c r="X138" s="436"/>
      <c r="Y138" s="614"/>
      <c r="Z138" s="436">
        <v>31</v>
      </c>
      <c r="AA138" s="436">
        <f>IF(Z138&lt;='B1 '!$L$31,'B1 '!$M$31,IF(AND(Z138&lt;='B1 '!$L$30,Z138&gt;'B1 '!$L$31),0+(('B1 '!$M$31-'B1 '!$M$30)/('B1 '!$L$31-'B1 '!$L$30))*(Z138-'B1 '!$L$30),0))</f>
        <v>114.54545454545455</v>
      </c>
      <c r="AB138" s="183"/>
    </row>
    <row r="139" spans="2:28">
      <c r="B139" s="182"/>
      <c r="C139" s="435"/>
      <c r="D139" s="435"/>
      <c r="E139" s="415"/>
      <c r="F139" s="435"/>
      <c r="G139" s="435"/>
      <c r="H139" s="415"/>
      <c r="I139" s="435"/>
      <c r="J139" s="435"/>
      <c r="K139" s="415"/>
      <c r="L139" s="435">
        <v>31.5</v>
      </c>
      <c r="M139" s="435">
        <f>IF(L139&lt;='B1 '!$G$31,'B1 '!$H$31,IF(AND(L139&lt;='B1 '!$G$30,L139&gt;'B1 '!$G$31),0+(('B1 '!$H$31-'B1 '!$H$30)/('B1 '!$G$31-'B1 '!$G$30))*(L139-'B1 '!$G$30),0))</f>
        <v>49.736842105263158</v>
      </c>
      <c r="N139" s="415"/>
      <c r="O139" s="434"/>
      <c r="P139" s="612"/>
      <c r="Q139" s="436">
        <v>63</v>
      </c>
      <c r="R139" s="436">
        <f>IF(Q139&lt;='B1 '!$L$25,'B1 '!$M$25,IF(AND(Q139&lt;='B1 '!$L$24,Q139&gt;'B1 '!$L$25),0+(('B1 '!$M$25-'B1 '!$M$24)/('B1 '!$L$25-'B1 '!$L$24))*(Q139-'B1 '!$L$24),0))</f>
        <v>0</v>
      </c>
      <c r="S139" s="612"/>
      <c r="T139" s="436"/>
      <c r="U139" s="436"/>
      <c r="V139" s="614"/>
      <c r="W139" s="436"/>
      <c r="X139" s="436"/>
      <c r="Y139" s="614"/>
      <c r="Z139" s="436">
        <v>31.5</v>
      </c>
      <c r="AA139" s="436">
        <f>IF(Z139&lt;='B1 '!$L$31,'B1 '!$M$31,IF(AND(Z139&lt;='B1 '!$L$30,Z139&gt;'B1 '!$L$31),0+(('B1 '!$M$31-'B1 '!$M$30)/('B1 '!$L$31-'B1 '!$L$30))*(Z139-'B1 '!$L$30),0))</f>
        <v>110.45454545454545</v>
      </c>
      <c r="AB139" s="183"/>
    </row>
    <row r="140" spans="2:28">
      <c r="B140" s="182"/>
      <c r="C140" s="435"/>
      <c r="D140" s="435"/>
      <c r="E140" s="415"/>
      <c r="F140" s="435"/>
      <c r="G140" s="435"/>
      <c r="H140" s="415"/>
      <c r="I140" s="435"/>
      <c r="J140" s="435"/>
      <c r="K140" s="415"/>
      <c r="L140" s="435">
        <v>32</v>
      </c>
      <c r="M140" s="435">
        <f>IF(L140&lt;='B1 '!$G$31,'B1 '!$H$31,IF(AND(L140&lt;='B1 '!$G$30,L140&gt;'B1 '!$G$31),0+(('B1 '!$H$31-'B1 '!$H$30)/('B1 '!$G$31-'B1 '!$G$30))*(L140-'B1 '!$G$30),0))</f>
        <v>42.631578947368425</v>
      </c>
      <c r="N140" s="415"/>
      <c r="O140" s="434"/>
      <c r="P140" s="612"/>
      <c r="Q140" s="436">
        <v>64</v>
      </c>
      <c r="R140" s="436">
        <f>IF(Q140&lt;='B1 '!$L$25,'B1 '!$M$25,IF(AND(Q140&lt;='B1 '!$L$24,Q140&gt;'B1 '!$L$25),0+(('B1 '!$M$25-'B1 '!$M$24)/('B1 '!$L$25-'B1 '!$L$24))*(Q140-'B1 '!$L$24),0))</f>
        <v>0</v>
      </c>
      <c r="S140" s="612"/>
      <c r="T140" s="436"/>
      <c r="U140" s="436"/>
      <c r="V140" s="614"/>
      <c r="W140" s="436"/>
      <c r="X140" s="436"/>
      <c r="Y140" s="614"/>
      <c r="Z140" s="436">
        <v>32</v>
      </c>
      <c r="AA140" s="436">
        <f>IF(Z140&lt;='B1 '!$L$31,'B1 '!$M$31,IF(AND(Z140&lt;='B1 '!$L$30,Z140&gt;'B1 '!$L$31),0+(('B1 '!$M$31-'B1 '!$M$30)/('B1 '!$L$31-'B1 '!$L$30))*(Z140-'B1 '!$L$30),0))</f>
        <v>106.36363636363636</v>
      </c>
      <c r="AB140" s="183"/>
    </row>
    <row r="141" spans="2:28">
      <c r="B141" s="182"/>
      <c r="C141" s="435"/>
      <c r="D141" s="435"/>
      <c r="E141" s="415"/>
      <c r="F141" s="435"/>
      <c r="G141" s="435"/>
      <c r="H141" s="415"/>
      <c r="I141" s="435"/>
      <c r="J141" s="435"/>
      <c r="K141" s="415"/>
      <c r="L141" s="435">
        <v>32.5</v>
      </c>
      <c r="M141" s="435">
        <f>IF(L141&lt;='B1 '!$G$31,'B1 '!$H$31,IF(AND(L141&lt;='B1 '!$G$30,L141&gt;'B1 '!$G$31),0+(('B1 '!$H$31-'B1 '!$H$30)/('B1 '!$G$31-'B1 '!$G$30))*(L141-'B1 '!$G$30),0))</f>
        <v>35.526315789473685</v>
      </c>
      <c r="N141" s="415"/>
      <c r="O141" s="434"/>
      <c r="P141" s="612"/>
      <c r="Q141" s="436">
        <v>65</v>
      </c>
      <c r="R141" s="436">
        <f>IF(Q141&lt;='B1 '!$L$25,'B1 '!$M$25,IF(AND(Q141&lt;='B1 '!$L$24,Q141&gt;'B1 '!$L$25),0+(('B1 '!$M$25-'B1 '!$M$24)/('B1 '!$L$25-'B1 '!$L$24))*(Q141-'B1 '!$L$24),0))</f>
        <v>0</v>
      </c>
      <c r="S141" s="612"/>
      <c r="T141" s="436"/>
      <c r="U141" s="436"/>
      <c r="V141" s="614"/>
      <c r="W141" s="436"/>
      <c r="X141" s="436"/>
      <c r="Y141" s="614"/>
      <c r="Z141" s="436">
        <v>32.5</v>
      </c>
      <c r="AA141" s="436">
        <f>IF(Z141&lt;='B1 '!$L$31,'B1 '!$M$31,IF(AND(Z141&lt;='B1 '!$L$30,Z141&gt;'B1 '!$L$31),0+(('B1 '!$M$31-'B1 '!$M$30)/('B1 '!$L$31-'B1 '!$L$30))*(Z141-'B1 '!$L$30),0))</f>
        <v>102.27272727272727</v>
      </c>
      <c r="AB141" s="183"/>
    </row>
    <row r="142" spans="2:28">
      <c r="B142" s="182"/>
      <c r="C142" s="435"/>
      <c r="D142" s="435"/>
      <c r="E142" s="415"/>
      <c r="F142" s="435"/>
      <c r="G142" s="435"/>
      <c r="H142" s="415"/>
      <c r="I142" s="435"/>
      <c r="J142" s="435"/>
      <c r="K142" s="415"/>
      <c r="L142" s="435">
        <v>33</v>
      </c>
      <c r="M142" s="435">
        <f>IF(L142&lt;='B1 '!$G$31,'B1 '!$H$31,IF(AND(L142&lt;='B1 '!$G$30,L142&gt;'B1 '!$G$31),0+(('B1 '!$H$31-'B1 '!$H$30)/('B1 '!$G$31-'B1 '!$G$30))*(L142-'B1 '!$G$30),0))</f>
        <v>28.421052631578949</v>
      </c>
      <c r="N142" s="415"/>
      <c r="O142" s="434"/>
      <c r="P142" s="612"/>
      <c r="Q142" s="436"/>
      <c r="R142" s="436"/>
      <c r="S142" s="612"/>
      <c r="T142" s="436"/>
      <c r="U142" s="436"/>
      <c r="V142" s="614"/>
      <c r="W142" s="436"/>
      <c r="X142" s="436"/>
      <c r="Y142" s="614"/>
      <c r="Z142" s="436">
        <v>33</v>
      </c>
      <c r="AA142" s="436">
        <f>IF(Z142&lt;='B1 '!$L$31,'B1 '!$M$31,IF(AND(Z142&lt;='B1 '!$L$30,Z142&gt;'B1 '!$L$31),0+(('B1 '!$M$31-'B1 '!$M$30)/('B1 '!$L$31-'B1 '!$L$30))*(Z142-'B1 '!$L$30),0))</f>
        <v>98.181818181818187</v>
      </c>
      <c r="AB142" s="183"/>
    </row>
    <row r="143" spans="2:28">
      <c r="B143" s="182"/>
      <c r="C143" s="435"/>
      <c r="D143" s="435"/>
      <c r="E143" s="415"/>
      <c r="F143" s="435"/>
      <c r="G143" s="435"/>
      <c r="H143" s="415"/>
      <c r="I143" s="435"/>
      <c r="J143" s="435"/>
      <c r="K143" s="415"/>
      <c r="L143" s="435">
        <v>33.5</v>
      </c>
      <c r="M143" s="435">
        <f>IF(L143&lt;='B1 '!$G$31,'B1 '!$H$31,IF(AND(L143&lt;='B1 '!$G$30,L143&gt;'B1 '!$G$31),0+(('B1 '!$H$31-'B1 '!$H$30)/('B1 '!$G$31-'B1 '!$G$30))*(L143-'B1 '!$G$30),0))</f>
        <v>21.315789473684212</v>
      </c>
      <c r="N143" s="415"/>
      <c r="O143" s="434"/>
      <c r="P143" s="612"/>
      <c r="Q143" s="436"/>
      <c r="R143" s="436"/>
      <c r="S143" s="612"/>
      <c r="T143" s="436"/>
      <c r="U143" s="436"/>
      <c r="V143" s="614"/>
      <c r="W143" s="436"/>
      <c r="X143" s="436"/>
      <c r="Y143" s="614"/>
      <c r="Z143" s="436">
        <v>33.5</v>
      </c>
      <c r="AA143" s="436">
        <f>IF(Z143&lt;='B1 '!$L$31,'B1 '!$M$31,IF(AND(Z143&lt;='B1 '!$L$30,Z143&gt;'B1 '!$L$31),0+(('B1 '!$M$31-'B1 '!$M$30)/('B1 '!$L$31-'B1 '!$L$30))*(Z143-'B1 '!$L$30),0))</f>
        <v>94.090909090909093</v>
      </c>
      <c r="AB143" s="183"/>
    </row>
    <row r="144" spans="2:28">
      <c r="B144" s="182"/>
      <c r="C144" s="435"/>
      <c r="D144" s="435"/>
      <c r="E144" s="415"/>
      <c r="F144" s="435"/>
      <c r="G144" s="435"/>
      <c r="H144" s="415"/>
      <c r="I144" s="435"/>
      <c r="J144" s="435"/>
      <c r="K144" s="415"/>
      <c r="L144" s="435">
        <v>34</v>
      </c>
      <c r="M144" s="435">
        <f>IF(L144&lt;='B1 '!$G$31,'B1 '!$H$31,IF(AND(L144&lt;='B1 '!$G$30,L144&gt;'B1 '!$G$31),0+(('B1 '!$H$31-'B1 '!$H$30)/('B1 '!$G$31-'B1 '!$G$30))*(L144-'B1 '!$G$30),0))</f>
        <v>14.210526315789474</v>
      </c>
      <c r="N144" s="415"/>
      <c r="O144" s="434"/>
      <c r="P144" s="612"/>
      <c r="Q144" s="436"/>
      <c r="R144" s="436"/>
      <c r="S144" s="612"/>
      <c r="T144" s="436"/>
      <c r="U144" s="436"/>
      <c r="V144" s="614"/>
      <c r="W144" s="436"/>
      <c r="X144" s="436"/>
      <c r="Y144" s="614"/>
      <c r="Z144" s="436">
        <v>34</v>
      </c>
      <c r="AA144" s="436">
        <f>IF(Z144&lt;='B1 '!$L$31,'B1 '!$M$31,IF(AND(Z144&lt;='B1 '!$L$30,Z144&gt;'B1 '!$L$31),0+(('B1 '!$M$31-'B1 '!$M$30)/('B1 '!$L$31-'B1 '!$L$30))*(Z144-'B1 '!$L$30),0))</f>
        <v>90</v>
      </c>
      <c r="AB144" s="183"/>
    </row>
    <row r="145" spans="2:28">
      <c r="B145" s="182"/>
      <c r="C145" s="435"/>
      <c r="D145" s="435"/>
      <c r="E145" s="415"/>
      <c r="F145" s="435"/>
      <c r="G145" s="435"/>
      <c r="H145" s="415"/>
      <c r="I145" s="435"/>
      <c r="J145" s="435"/>
      <c r="K145" s="415"/>
      <c r="L145" s="435">
        <v>34.5</v>
      </c>
      <c r="M145" s="435">
        <f>IF(L145&lt;='B1 '!$G$31,'B1 '!$H$31,IF(AND(L145&lt;='B1 '!$G$30,L145&gt;'B1 '!$G$31),0+(('B1 '!$H$31-'B1 '!$H$30)/('B1 '!$G$31-'B1 '!$G$30))*(L145-'B1 '!$G$30),0))</f>
        <v>7.1052631578947372</v>
      </c>
      <c r="N145" s="415"/>
      <c r="O145" s="434"/>
      <c r="P145" s="612"/>
      <c r="Q145" s="436"/>
      <c r="R145" s="436"/>
      <c r="S145" s="612"/>
      <c r="T145" s="436"/>
      <c r="U145" s="436"/>
      <c r="V145" s="614"/>
      <c r="W145" s="436"/>
      <c r="X145" s="436"/>
      <c r="Y145" s="614"/>
      <c r="Z145" s="436">
        <v>34.5</v>
      </c>
      <c r="AA145" s="436">
        <f>IF(Z145&lt;='B1 '!$L$31,'B1 '!$M$31,IF(AND(Z145&lt;='B1 '!$L$30,Z145&gt;'B1 '!$L$31),0+(('B1 '!$M$31-'B1 '!$M$30)/('B1 '!$L$31-'B1 '!$L$30))*(Z145-'B1 '!$L$30),0))</f>
        <v>85.909090909090907</v>
      </c>
      <c r="AB145" s="183"/>
    </row>
    <row r="146" spans="2:28">
      <c r="B146" s="182"/>
      <c r="C146" s="435"/>
      <c r="D146" s="435"/>
      <c r="E146" s="415"/>
      <c r="F146" s="435"/>
      <c r="G146" s="435"/>
      <c r="H146" s="415"/>
      <c r="I146" s="435"/>
      <c r="J146" s="435"/>
      <c r="K146" s="415"/>
      <c r="L146" s="435">
        <v>35</v>
      </c>
      <c r="M146" s="435">
        <f>IF(L146&lt;='B1 '!$G$31,'B1 '!$H$31,IF(AND(L146&lt;='B1 '!$G$30,L146&gt;'B1 '!$G$31),0+(('B1 '!$H$31-'B1 '!$H$30)/('B1 '!$G$31-'B1 '!$G$30))*(L146-'B1 '!$G$30),0))</f>
        <v>0</v>
      </c>
      <c r="N146" s="415"/>
      <c r="O146" s="434"/>
      <c r="P146" s="612"/>
      <c r="Q146" s="436"/>
      <c r="R146" s="436"/>
      <c r="S146" s="612"/>
      <c r="T146" s="436"/>
      <c r="U146" s="436"/>
      <c r="V146" s="614"/>
      <c r="W146" s="436"/>
      <c r="X146" s="436"/>
      <c r="Y146" s="614"/>
      <c r="Z146" s="436">
        <v>35</v>
      </c>
      <c r="AA146" s="436">
        <f>IF(Z146&lt;='B1 '!$L$31,'B1 '!$M$31,IF(AND(Z146&lt;='B1 '!$L$30,Z146&gt;'B1 '!$L$31),0+(('B1 '!$M$31-'B1 '!$M$30)/('B1 '!$L$31-'B1 '!$L$30))*(Z146-'B1 '!$L$30),0))</f>
        <v>81.818181818181813</v>
      </c>
      <c r="AB146" s="183"/>
    </row>
    <row r="147" spans="2:28">
      <c r="B147" s="182"/>
      <c r="C147" s="435"/>
      <c r="D147" s="435"/>
      <c r="E147" s="415"/>
      <c r="F147" s="435"/>
      <c r="G147" s="435"/>
      <c r="H147" s="415"/>
      <c r="I147" s="435"/>
      <c r="J147" s="435"/>
      <c r="K147" s="415"/>
      <c r="L147" s="435">
        <v>35.5</v>
      </c>
      <c r="M147" s="435">
        <f>IF(L147&lt;='B1 '!$G$31,'B1 '!$H$31,IF(AND(L147&lt;='B1 '!$G$30,L147&gt;'B1 '!$G$31),0+(('B1 '!$H$31-'B1 '!$H$30)/('B1 '!$G$31-'B1 '!$G$30))*(L147-'B1 '!$G$30),0))</f>
        <v>0</v>
      </c>
      <c r="N147" s="415"/>
      <c r="O147" s="434"/>
      <c r="P147" s="612"/>
      <c r="Q147" s="436"/>
      <c r="R147" s="436"/>
      <c r="S147" s="612"/>
      <c r="T147" s="436"/>
      <c r="U147" s="436"/>
      <c r="V147" s="612"/>
      <c r="W147" s="436"/>
      <c r="X147" s="436"/>
      <c r="Y147" s="612"/>
      <c r="Z147" s="436">
        <v>35.5</v>
      </c>
      <c r="AA147" s="436">
        <f>IF(Z147&lt;='B1 '!$L$31,'B1 '!$M$31,IF(AND(Z147&lt;='B1 '!$L$30,Z147&gt;'B1 '!$L$31),0+(('B1 '!$M$31-'B1 '!$M$30)/('B1 '!$L$31-'B1 '!$L$30))*(Z147-'B1 '!$L$30),0))</f>
        <v>77.72727272727272</v>
      </c>
      <c r="AB147" s="183"/>
    </row>
    <row r="148" spans="2:28">
      <c r="B148" s="182"/>
      <c r="C148" s="435"/>
      <c r="D148" s="435"/>
      <c r="E148" s="415"/>
      <c r="F148" s="435"/>
      <c r="G148" s="435"/>
      <c r="H148" s="415"/>
      <c r="I148" s="435"/>
      <c r="J148" s="435"/>
      <c r="K148" s="415"/>
      <c r="L148" s="435">
        <v>36</v>
      </c>
      <c r="M148" s="435">
        <f>IF(L148&lt;='B1 '!$G$31,'B1 '!$H$31,IF(AND(L148&lt;='B1 '!$G$30,L148&gt;'B1 '!$G$31),0+(('B1 '!$H$31-'B1 '!$H$30)/('B1 '!$G$31-'B1 '!$G$30))*(L148-'B1 '!$G$30),0))</f>
        <v>0</v>
      </c>
      <c r="N148" s="415"/>
      <c r="O148" s="434"/>
      <c r="P148" s="612"/>
      <c r="Q148" s="436"/>
      <c r="R148" s="436"/>
      <c r="S148" s="612"/>
      <c r="T148" s="436"/>
      <c r="U148" s="436"/>
      <c r="V148" s="612"/>
      <c r="W148" s="436"/>
      <c r="X148" s="436"/>
      <c r="Y148" s="612"/>
      <c r="Z148" s="436">
        <v>36</v>
      </c>
      <c r="AA148" s="436">
        <f>IF(Z148&lt;='B1 '!$L$31,'B1 '!$M$31,IF(AND(Z148&lt;='B1 '!$L$30,Z148&gt;'B1 '!$L$31),0+(('B1 '!$M$31-'B1 '!$M$30)/('B1 '!$L$31-'B1 '!$L$30))*(Z148-'B1 '!$L$30),0))</f>
        <v>73.63636363636364</v>
      </c>
      <c r="AB148" s="183"/>
    </row>
    <row r="149" spans="2:28">
      <c r="B149" s="182"/>
      <c r="C149" s="435"/>
      <c r="D149" s="435"/>
      <c r="E149" s="415"/>
      <c r="F149" s="435"/>
      <c r="G149" s="435"/>
      <c r="H149" s="415"/>
      <c r="I149" s="435"/>
      <c r="J149" s="435"/>
      <c r="K149" s="415"/>
      <c r="L149" s="435">
        <v>36.5</v>
      </c>
      <c r="M149" s="435">
        <f>IF(L149&lt;='B1 '!$G$31,'B1 '!$H$31,IF(AND(L149&lt;='B1 '!$G$30,L149&gt;'B1 '!$G$31),0+(('B1 '!$H$31-'B1 '!$H$30)/('B1 '!$G$31-'B1 '!$G$30))*(L149-'B1 '!$G$30),0))</f>
        <v>0</v>
      </c>
      <c r="N149" s="415"/>
      <c r="O149" s="434"/>
      <c r="P149" s="612"/>
      <c r="Q149" s="436"/>
      <c r="R149" s="436"/>
      <c r="S149" s="612"/>
      <c r="T149" s="436"/>
      <c r="U149" s="436"/>
      <c r="V149" s="612"/>
      <c r="W149" s="436"/>
      <c r="X149" s="436"/>
      <c r="Y149" s="612"/>
      <c r="Z149" s="436">
        <v>36.5</v>
      </c>
      <c r="AA149" s="436">
        <f>IF(Z149&lt;='B1 '!$L$31,'B1 '!$M$31,IF(AND(Z149&lt;='B1 '!$L$30,Z149&gt;'B1 '!$L$31),0+(('B1 '!$M$31-'B1 '!$M$30)/('B1 '!$L$31-'B1 '!$L$30))*(Z149-'B1 '!$L$30),0))</f>
        <v>69.545454545454547</v>
      </c>
      <c r="AB149" s="183"/>
    </row>
    <row r="150" spans="2:28">
      <c r="B150" s="182"/>
      <c r="C150" s="435"/>
      <c r="D150" s="435"/>
      <c r="E150" s="415"/>
      <c r="F150" s="435"/>
      <c r="G150" s="435"/>
      <c r="H150" s="415"/>
      <c r="I150" s="435"/>
      <c r="J150" s="435"/>
      <c r="K150" s="415"/>
      <c r="L150" s="435">
        <v>37</v>
      </c>
      <c r="M150" s="435">
        <f>IF(L150&lt;='B1 '!$G$31,'B1 '!$H$31,IF(AND(L150&lt;='B1 '!$G$30,L150&gt;'B1 '!$G$31),0+(('B1 '!$H$31-'B1 '!$H$30)/('B1 '!$G$31-'B1 '!$G$30))*(L150-'B1 '!$G$30),0))</f>
        <v>0</v>
      </c>
      <c r="N150" s="415"/>
      <c r="O150" s="434"/>
      <c r="P150" s="612"/>
      <c r="Q150" s="436"/>
      <c r="R150" s="436"/>
      <c r="S150" s="612"/>
      <c r="T150" s="436"/>
      <c r="U150" s="436"/>
      <c r="V150" s="612"/>
      <c r="W150" s="436"/>
      <c r="X150" s="436"/>
      <c r="Y150" s="612"/>
      <c r="Z150" s="436">
        <v>37</v>
      </c>
      <c r="AA150" s="436">
        <f>IF(Z150&lt;='B1 '!$L$31,'B1 '!$M$31,IF(AND(Z150&lt;='B1 '!$L$30,Z150&gt;'B1 '!$L$31),0+(('B1 '!$M$31-'B1 '!$M$30)/('B1 '!$L$31-'B1 '!$L$30))*(Z150-'B1 '!$L$30),0))</f>
        <v>65.454545454545453</v>
      </c>
      <c r="AB150" s="183"/>
    </row>
    <row r="151" spans="2:28">
      <c r="B151" s="182"/>
      <c r="C151" s="435"/>
      <c r="D151" s="435"/>
      <c r="E151" s="415"/>
      <c r="F151" s="435"/>
      <c r="G151" s="435"/>
      <c r="H151" s="415"/>
      <c r="I151" s="435"/>
      <c r="J151" s="435"/>
      <c r="K151" s="415"/>
      <c r="L151" s="435">
        <v>37.5</v>
      </c>
      <c r="M151" s="435">
        <f>IF(L151&lt;='B1 '!$G$31,'B1 '!$H$31,IF(AND(L151&lt;='B1 '!$G$30,L151&gt;'B1 '!$G$31),0+(('B1 '!$H$31-'B1 '!$H$30)/('B1 '!$G$31-'B1 '!$G$30))*(L151-'B1 '!$G$30),0))</f>
        <v>0</v>
      </c>
      <c r="N151" s="415"/>
      <c r="O151" s="434"/>
      <c r="P151" s="612"/>
      <c r="Q151" s="436"/>
      <c r="R151" s="436"/>
      <c r="S151" s="612"/>
      <c r="T151" s="436"/>
      <c r="U151" s="436"/>
      <c r="V151" s="612"/>
      <c r="W151" s="436"/>
      <c r="X151" s="436"/>
      <c r="Y151" s="612"/>
      <c r="Z151" s="436">
        <v>37.5</v>
      </c>
      <c r="AA151" s="436">
        <f>IF(Z151&lt;='B1 '!$L$31,'B1 '!$M$31,IF(AND(Z151&lt;='B1 '!$L$30,Z151&gt;'B1 '!$L$31),0+(('B1 '!$M$31-'B1 '!$M$30)/('B1 '!$L$31-'B1 '!$L$30))*(Z151-'B1 '!$L$30),0))</f>
        <v>61.36363636363636</v>
      </c>
      <c r="AB151" s="183"/>
    </row>
    <row r="152" spans="2:28">
      <c r="B152" s="182"/>
      <c r="C152" s="435"/>
      <c r="D152" s="435"/>
      <c r="E152" s="415"/>
      <c r="F152" s="435"/>
      <c r="G152" s="435"/>
      <c r="H152" s="415"/>
      <c r="I152" s="435"/>
      <c r="J152" s="435"/>
      <c r="K152" s="415"/>
      <c r="L152" s="435">
        <v>38</v>
      </c>
      <c r="M152" s="435">
        <f>IF(L152&lt;='B1 '!$G$31,'B1 '!$H$31,IF(AND(L152&lt;='B1 '!$G$30,L152&gt;'B1 '!$G$31),0+(('B1 '!$H$31-'B1 '!$H$30)/('B1 '!$G$31-'B1 '!$G$30))*(L152-'B1 '!$G$30),0))</f>
        <v>0</v>
      </c>
      <c r="N152" s="415"/>
      <c r="O152" s="434"/>
      <c r="P152" s="612"/>
      <c r="Q152" s="436"/>
      <c r="R152" s="436"/>
      <c r="S152" s="612"/>
      <c r="T152" s="436"/>
      <c r="U152" s="436"/>
      <c r="V152" s="612"/>
      <c r="W152" s="436"/>
      <c r="X152" s="436"/>
      <c r="Y152" s="612"/>
      <c r="Z152" s="436">
        <v>38</v>
      </c>
      <c r="AA152" s="436">
        <f>IF(Z152&lt;='B1 '!$L$31,'B1 '!$M$31,IF(AND(Z152&lt;='B1 '!$L$30,Z152&gt;'B1 '!$L$31),0+(('B1 '!$M$31-'B1 '!$M$30)/('B1 '!$L$31-'B1 '!$L$30))*(Z152-'B1 '!$L$30),0))</f>
        <v>57.272727272727273</v>
      </c>
      <c r="AB152" s="183"/>
    </row>
    <row r="153" spans="2:28">
      <c r="B153" s="182"/>
      <c r="C153" s="435"/>
      <c r="D153" s="435"/>
      <c r="E153" s="415"/>
      <c r="F153" s="435"/>
      <c r="G153" s="435"/>
      <c r="H153" s="415"/>
      <c r="I153" s="435"/>
      <c r="J153" s="435"/>
      <c r="K153" s="415"/>
      <c r="L153" s="435">
        <v>38.5</v>
      </c>
      <c r="M153" s="435">
        <f>IF(L153&lt;='B1 '!$G$31,'B1 '!$H$31,IF(AND(L153&lt;='B1 '!$G$30,L153&gt;'B1 '!$G$31),0+(('B1 '!$H$31-'B1 '!$H$30)/('B1 '!$G$31-'B1 '!$G$30))*(L153-'B1 '!$G$30),0))</f>
        <v>0</v>
      </c>
      <c r="N153" s="415"/>
      <c r="O153" s="434"/>
      <c r="P153" s="612"/>
      <c r="Q153" s="436"/>
      <c r="R153" s="436"/>
      <c r="S153" s="612"/>
      <c r="T153" s="436"/>
      <c r="U153" s="436"/>
      <c r="V153" s="612"/>
      <c r="W153" s="436"/>
      <c r="X153" s="436"/>
      <c r="Y153" s="612"/>
      <c r="Z153" s="436">
        <v>38.5</v>
      </c>
      <c r="AA153" s="436">
        <f>IF(Z153&lt;='B1 '!$L$31,'B1 '!$M$31,IF(AND(Z153&lt;='B1 '!$L$30,Z153&gt;'B1 '!$L$31),0+(('B1 '!$M$31-'B1 '!$M$30)/('B1 '!$L$31-'B1 '!$L$30))*(Z153-'B1 '!$L$30),0))</f>
        <v>53.18181818181818</v>
      </c>
      <c r="AB153" s="183"/>
    </row>
    <row r="154" spans="2:28">
      <c r="B154" s="182"/>
      <c r="C154" s="435"/>
      <c r="D154" s="435"/>
      <c r="E154" s="415"/>
      <c r="F154" s="435"/>
      <c r="G154" s="435"/>
      <c r="H154" s="415"/>
      <c r="I154" s="435"/>
      <c r="J154" s="435"/>
      <c r="K154" s="415"/>
      <c r="L154" s="435">
        <v>39</v>
      </c>
      <c r="M154" s="435">
        <f>IF(L154&lt;='B1 '!$G$31,'B1 '!$H$31,IF(AND(L154&lt;='B1 '!$G$30,L154&gt;'B1 '!$G$31),0+(('B1 '!$H$31-'B1 '!$H$30)/('B1 '!$G$31-'B1 '!$G$30))*(L154-'B1 '!$G$30),0))</f>
        <v>0</v>
      </c>
      <c r="N154" s="415"/>
      <c r="O154" s="434"/>
      <c r="P154" s="612"/>
      <c r="Q154" s="436"/>
      <c r="R154" s="436"/>
      <c r="S154" s="612"/>
      <c r="T154" s="436"/>
      <c r="U154" s="436"/>
      <c r="V154" s="612"/>
      <c r="W154" s="436"/>
      <c r="X154" s="436"/>
      <c r="Y154" s="612"/>
      <c r="Z154" s="436">
        <v>39</v>
      </c>
      <c r="AA154" s="436">
        <f>IF(Z154&lt;='B1 '!$L$31,'B1 '!$M$31,IF(AND(Z154&lt;='B1 '!$L$30,Z154&gt;'B1 '!$L$31),0+(('B1 '!$M$31-'B1 '!$M$30)/('B1 '!$L$31-'B1 '!$L$30))*(Z154-'B1 '!$L$30),0))</f>
        <v>49.090909090909093</v>
      </c>
      <c r="AB154" s="183"/>
    </row>
    <row r="155" spans="2:28">
      <c r="B155" s="182"/>
      <c r="C155" s="435"/>
      <c r="D155" s="435"/>
      <c r="E155" s="415"/>
      <c r="F155" s="435"/>
      <c r="G155" s="435"/>
      <c r="H155" s="415"/>
      <c r="I155" s="435"/>
      <c r="J155" s="435"/>
      <c r="K155" s="415"/>
      <c r="L155" s="435">
        <v>39.5</v>
      </c>
      <c r="M155" s="435">
        <f>IF(L155&lt;='B1 '!$G$31,'B1 '!$H$31,IF(AND(L155&lt;='B1 '!$G$30,L155&gt;'B1 '!$G$31),0+(('B1 '!$H$31-'B1 '!$H$30)/('B1 '!$G$31-'B1 '!$G$30))*(L155-'B1 '!$G$30),0))</f>
        <v>0</v>
      </c>
      <c r="N155" s="415"/>
      <c r="O155" s="434"/>
      <c r="P155" s="612"/>
      <c r="Q155" s="436"/>
      <c r="R155" s="436"/>
      <c r="S155" s="612"/>
      <c r="T155" s="436"/>
      <c r="U155" s="436"/>
      <c r="V155" s="612"/>
      <c r="W155" s="436"/>
      <c r="X155" s="436"/>
      <c r="Y155" s="612"/>
      <c r="Z155" s="436">
        <v>39.5</v>
      </c>
      <c r="AA155" s="436">
        <f>IF(Z155&lt;='B1 '!$L$31,'B1 '!$M$31,IF(AND(Z155&lt;='B1 '!$L$30,Z155&gt;'B1 '!$L$31),0+(('B1 '!$M$31-'B1 '!$M$30)/('B1 '!$L$31-'B1 '!$L$30))*(Z155-'B1 '!$L$30),0))</f>
        <v>45</v>
      </c>
      <c r="AB155" s="183"/>
    </row>
    <row r="156" spans="2:28">
      <c r="B156" s="182"/>
      <c r="C156" s="435"/>
      <c r="D156" s="435"/>
      <c r="E156" s="415"/>
      <c r="F156" s="435"/>
      <c r="G156" s="435"/>
      <c r="H156" s="415"/>
      <c r="I156" s="435"/>
      <c r="J156" s="435"/>
      <c r="K156" s="415"/>
      <c r="L156" s="435">
        <v>40</v>
      </c>
      <c r="M156" s="435">
        <f>IF(L156&lt;='B1 '!$G$31,'B1 '!$H$31,IF(AND(L156&lt;='B1 '!$G$30,L156&gt;'B1 '!$G$31),0+(('B1 '!$H$31-'B1 '!$H$30)/('B1 '!$G$31-'B1 '!$G$30))*(L156-'B1 '!$G$30),0))</f>
        <v>0</v>
      </c>
      <c r="N156" s="415"/>
      <c r="O156" s="434"/>
      <c r="P156" s="612"/>
      <c r="Q156" s="436"/>
      <c r="R156" s="436"/>
      <c r="S156" s="612"/>
      <c r="T156" s="436"/>
      <c r="U156" s="436"/>
      <c r="V156" s="612"/>
      <c r="W156" s="436"/>
      <c r="X156" s="436"/>
      <c r="Y156" s="612"/>
      <c r="Z156" s="436">
        <v>40</v>
      </c>
      <c r="AA156" s="436">
        <f>IF(Z156&lt;='B1 '!$L$31,'B1 '!$M$31,IF(AND(Z156&lt;='B1 '!$L$30,Z156&gt;'B1 '!$L$31),0+(('B1 '!$M$31-'B1 '!$M$30)/('B1 '!$L$31-'B1 '!$L$30))*(Z156-'B1 '!$L$30),0))</f>
        <v>40.909090909090907</v>
      </c>
      <c r="AB156" s="183"/>
    </row>
    <row r="157" spans="2:28">
      <c r="B157" s="182"/>
      <c r="C157" s="435"/>
      <c r="D157" s="435"/>
      <c r="E157" s="415"/>
      <c r="F157" s="435"/>
      <c r="G157" s="435"/>
      <c r="H157" s="415"/>
      <c r="I157" s="435"/>
      <c r="J157" s="435"/>
      <c r="K157" s="415"/>
      <c r="L157" s="435">
        <v>40.5</v>
      </c>
      <c r="M157" s="435">
        <f>IF(L157&lt;='B1 '!$G$31,'B1 '!$H$31,IF(AND(L157&lt;='B1 '!$G$30,L157&gt;'B1 '!$G$31),0+(('B1 '!$H$31-'B1 '!$H$30)/('B1 '!$G$31-'B1 '!$G$30))*(L157-'B1 '!$G$30),0))</f>
        <v>0</v>
      </c>
      <c r="N157" s="415"/>
      <c r="O157" s="434"/>
      <c r="P157" s="612"/>
      <c r="Q157" s="436"/>
      <c r="R157" s="436"/>
      <c r="S157" s="612"/>
      <c r="T157" s="436"/>
      <c r="U157" s="436"/>
      <c r="V157" s="612"/>
      <c r="W157" s="436"/>
      <c r="X157" s="436"/>
      <c r="Y157" s="612"/>
      <c r="Z157" s="436">
        <v>40.5</v>
      </c>
      <c r="AA157" s="436">
        <f>IF(Z157&lt;='B1 '!$L$31,'B1 '!$M$31,IF(AND(Z157&lt;='B1 '!$L$30,Z157&gt;'B1 '!$L$31),0+(('B1 '!$M$31-'B1 '!$M$30)/('B1 '!$L$31-'B1 '!$L$30))*(Z157-'B1 '!$L$30),0))</f>
        <v>36.81818181818182</v>
      </c>
      <c r="AB157" s="183"/>
    </row>
    <row r="158" spans="2:28">
      <c r="B158" s="182"/>
      <c r="C158" s="435"/>
      <c r="D158" s="435"/>
      <c r="E158" s="415"/>
      <c r="F158" s="435"/>
      <c r="G158" s="435"/>
      <c r="H158" s="415"/>
      <c r="I158" s="435"/>
      <c r="J158" s="435"/>
      <c r="K158" s="415"/>
      <c r="L158" s="435">
        <v>41</v>
      </c>
      <c r="M158" s="435">
        <f>IF(L158&lt;='B1 '!$G$31,'B1 '!$H$31,IF(AND(L158&lt;='B1 '!$G$30,L158&gt;'B1 '!$G$31),0+(('B1 '!$H$31-'B1 '!$H$30)/('B1 '!$G$31-'B1 '!$G$30))*(L158-'B1 '!$G$30),0))</f>
        <v>0</v>
      </c>
      <c r="N158" s="415"/>
      <c r="O158" s="434"/>
      <c r="P158" s="612"/>
      <c r="Q158" s="436"/>
      <c r="R158" s="436"/>
      <c r="S158" s="612"/>
      <c r="T158" s="436"/>
      <c r="U158" s="436"/>
      <c r="V158" s="612"/>
      <c r="W158" s="436"/>
      <c r="X158" s="436"/>
      <c r="Y158" s="612"/>
      <c r="Z158" s="436">
        <v>41</v>
      </c>
      <c r="AA158" s="436">
        <f>IF(Z158&lt;='B1 '!$L$31,'B1 '!$M$31,IF(AND(Z158&lt;='B1 '!$L$30,Z158&gt;'B1 '!$L$31),0+(('B1 '!$M$31-'B1 '!$M$30)/('B1 '!$L$31-'B1 '!$L$30))*(Z158-'B1 '!$L$30),0))</f>
        <v>32.727272727272727</v>
      </c>
      <c r="AB158" s="183"/>
    </row>
    <row r="159" spans="2:28">
      <c r="B159" s="182"/>
      <c r="C159" s="435"/>
      <c r="D159" s="435"/>
      <c r="E159" s="415"/>
      <c r="F159" s="435"/>
      <c r="G159" s="435"/>
      <c r="H159" s="415"/>
      <c r="I159" s="435"/>
      <c r="J159" s="435"/>
      <c r="K159" s="415"/>
      <c r="L159" s="435">
        <v>41.5</v>
      </c>
      <c r="M159" s="435">
        <f>IF(L159&lt;='B1 '!$G$31,'B1 '!$H$31,IF(AND(L159&lt;='B1 '!$G$30,L159&gt;'B1 '!$G$31),0+(('B1 '!$H$31-'B1 '!$H$30)/('B1 '!$G$31-'B1 '!$G$30))*(L159-'B1 '!$G$30),0))</f>
        <v>0</v>
      </c>
      <c r="N159" s="415"/>
      <c r="O159" s="434"/>
      <c r="P159" s="612"/>
      <c r="Q159" s="436"/>
      <c r="R159" s="436"/>
      <c r="S159" s="612"/>
      <c r="T159" s="436"/>
      <c r="U159" s="436"/>
      <c r="V159" s="612"/>
      <c r="W159" s="436"/>
      <c r="X159" s="436"/>
      <c r="Y159" s="612"/>
      <c r="Z159" s="436">
        <v>41.5</v>
      </c>
      <c r="AA159" s="436">
        <f>IF(Z159&lt;='B1 '!$L$31,'B1 '!$M$31,IF(AND(Z159&lt;='B1 '!$L$30,Z159&gt;'B1 '!$L$31),0+(('B1 '!$M$31-'B1 '!$M$30)/('B1 '!$L$31-'B1 '!$L$30))*(Z159-'B1 '!$L$30),0))</f>
        <v>28.636363636363637</v>
      </c>
      <c r="AB159" s="183"/>
    </row>
    <row r="160" spans="2:28">
      <c r="B160" s="182"/>
      <c r="C160" s="435"/>
      <c r="D160" s="435"/>
      <c r="E160" s="415"/>
      <c r="F160" s="435"/>
      <c r="G160" s="435"/>
      <c r="H160" s="415"/>
      <c r="I160" s="435"/>
      <c r="J160" s="435"/>
      <c r="K160" s="415"/>
      <c r="L160" s="435">
        <v>42</v>
      </c>
      <c r="M160" s="435">
        <f>IF(L160&lt;='B1 '!$G$31,'B1 '!$H$31,IF(AND(L160&lt;='B1 '!$G$30,L160&gt;'B1 '!$G$31),0+(('B1 '!$H$31-'B1 '!$H$30)/('B1 '!$G$31-'B1 '!$G$30))*(L160-'B1 '!$G$30),0))</f>
        <v>0</v>
      </c>
      <c r="N160" s="415"/>
      <c r="O160" s="434"/>
      <c r="P160" s="612"/>
      <c r="Q160" s="436"/>
      <c r="R160" s="436"/>
      <c r="S160" s="612"/>
      <c r="T160" s="436"/>
      <c r="U160" s="436"/>
      <c r="V160" s="612"/>
      <c r="W160" s="436"/>
      <c r="X160" s="436"/>
      <c r="Y160" s="612"/>
      <c r="Z160" s="436">
        <v>42</v>
      </c>
      <c r="AA160" s="436">
        <f>IF(Z160&lt;='B1 '!$L$31,'B1 '!$M$31,IF(AND(Z160&lt;='B1 '!$L$30,Z160&gt;'B1 '!$L$31),0+(('B1 '!$M$31-'B1 '!$M$30)/('B1 '!$L$31-'B1 '!$L$30))*(Z160-'B1 '!$L$30),0))</f>
        <v>24.545454545454547</v>
      </c>
      <c r="AB160" s="183"/>
    </row>
    <row r="161" spans="2:28">
      <c r="B161" s="182"/>
      <c r="C161" s="435"/>
      <c r="D161" s="435"/>
      <c r="E161" s="415"/>
      <c r="F161" s="435"/>
      <c r="G161" s="435"/>
      <c r="H161" s="415"/>
      <c r="I161" s="435"/>
      <c r="J161" s="435"/>
      <c r="K161" s="415"/>
      <c r="L161" s="435">
        <v>42.5</v>
      </c>
      <c r="M161" s="435">
        <f>IF(L161&lt;='B1 '!$G$31,'B1 '!$H$31,IF(AND(L161&lt;='B1 '!$G$30,L161&gt;'B1 '!$G$31),0+(('B1 '!$H$31-'B1 '!$H$30)/('B1 '!$G$31-'B1 '!$G$30))*(L161-'B1 '!$G$30),0))</f>
        <v>0</v>
      </c>
      <c r="N161" s="415"/>
      <c r="O161" s="434"/>
      <c r="P161" s="612"/>
      <c r="Q161" s="436"/>
      <c r="R161" s="436"/>
      <c r="S161" s="612"/>
      <c r="T161" s="436"/>
      <c r="U161" s="436"/>
      <c r="V161" s="612"/>
      <c r="W161" s="436"/>
      <c r="X161" s="436"/>
      <c r="Y161" s="612"/>
      <c r="Z161" s="436">
        <v>42.5</v>
      </c>
      <c r="AA161" s="436">
        <f>IF(Z161&lt;='B1 '!$L$31,'B1 '!$M$31,IF(AND(Z161&lt;='B1 '!$L$30,Z161&gt;'B1 '!$L$31),0+(('B1 '!$M$31-'B1 '!$M$30)/('B1 '!$L$31-'B1 '!$L$30))*(Z161-'B1 '!$L$30),0))</f>
        <v>20.454545454545453</v>
      </c>
      <c r="AB161" s="183"/>
    </row>
    <row r="162" spans="2:28">
      <c r="B162" s="182"/>
      <c r="C162" s="435"/>
      <c r="D162" s="435"/>
      <c r="E162" s="415"/>
      <c r="F162" s="435"/>
      <c r="G162" s="435"/>
      <c r="H162" s="415"/>
      <c r="I162" s="435"/>
      <c r="J162" s="435"/>
      <c r="K162" s="415"/>
      <c r="L162" s="435">
        <v>43</v>
      </c>
      <c r="M162" s="435">
        <f>IF(L162&lt;='B1 '!$G$31,'B1 '!$H$31,IF(AND(L162&lt;='B1 '!$G$30,L162&gt;'B1 '!$G$31),0+(('B1 '!$H$31-'B1 '!$H$30)/('B1 '!$G$31-'B1 '!$G$30))*(L162-'B1 '!$G$30),0))</f>
        <v>0</v>
      </c>
      <c r="N162" s="415"/>
      <c r="O162" s="434"/>
      <c r="P162" s="612"/>
      <c r="Q162" s="436"/>
      <c r="R162" s="436"/>
      <c r="S162" s="612"/>
      <c r="T162" s="436"/>
      <c r="U162" s="436"/>
      <c r="V162" s="612"/>
      <c r="W162" s="436"/>
      <c r="X162" s="436"/>
      <c r="Y162" s="612"/>
      <c r="Z162" s="436">
        <v>43</v>
      </c>
      <c r="AA162" s="436">
        <f>IF(Z162&lt;='B1 '!$L$31,'B1 '!$M$31,IF(AND(Z162&lt;='B1 '!$L$30,Z162&gt;'B1 '!$L$31),0+(('B1 '!$M$31-'B1 '!$M$30)/('B1 '!$L$31-'B1 '!$L$30))*(Z162-'B1 '!$L$30),0))</f>
        <v>16.363636363636363</v>
      </c>
      <c r="AB162" s="183"/>
    </row>
    <row r="163" spans="2:28">
      <c r="B163" s="182"/>
      <c r="C163" s="435"/>
      <c r="D163" s="435"/>
      <c r="E163" s="415"/>
      <c r="F163" s="435"/>
      <c r="G163" s="435"/>
      <c r="H163" s="415"/>
      <c r="I163" s="435"/>
      <c r="J163" s="435"/>
      <c r="K163" s="415"/>
      <c r="L163" s="435">
        <v>43.5</v>
      </c>
      <c r="M163" s="435">
        <f>IF(L163&lt;='B1 '!$G$31,'B1 '!$H$31,IF(AND(L163&lt;='B1 '!$G$30,L163&gt;'B1 '!$G$31),0+(('B1 '!$H$31-'B1 '!$H$30)/('B1 '!$G$31-'B1 '!$G$30))*(L163-'B1 '!$G$30),0))</f>
        <v>0</v>
      </c>
      <c r="N163" s="415"/>
      <c r="O163" s="434"/>
      <c r="P163" s="612"/>
      <c r="Q163" s="436"/>
      <c r="R163" s="436"/>
      <c r="S163" s="612"/>
      <c r="T163" s="436"/>
      <c r="U163" s="436"/>
      <c r="V163" s="612"/>
      <c r="W163" s="436"/>
      <c r="X163" s="436"/>
      <c r="Y163" s="612"/>
      <c r="Z163" s="436">
        <v>43.5</v>
      </c>
      <c r="AA163" s="436">
        <f>IF(Z163&lt;='B1 '!$L$31,'B1 '!$M$31,IF(AND(Z163&lt;='B1 '!$L$30,Z163&gt;'B1 '!$L$31),0+(('B1 '!$M$31-'B1 '!$M$30)/('B1 '!$L$31-'B1 '!$L$30))*(Z163-'B1 '!$L$30),0))</f>
        <v>12.272727272727273</v>
      </c>
      <c r="AB163" s="183"/>
    </row>
    <row r="164" spans="2:28">
      <c r="B164" s="182"/>
      <c r="C164" s="435"/>
      <c r="D164" s="435"/>
      <c r="E164" s="415"/>
      <c r="F164" s="435"/>
      <c r="G164" s="435"/>
      <c r="H164" s="415"/>
      <c r="I164" s="435"/>
      <c r="J164" s="435"/>
      <c r="K164" s="415"/>
      <c r="L164" s="435">
        <v>44</v>
      </c>
      <c r="M164" s="435">
        <f>IF(L164&lt;='B1 '!$G$31,'B1 '!$H$31,IF(AND(L164&lt;='B1 '!$G$30,L164&gt;'B1 '!$G$31),0+(('B1 '!$H$31-'B1 '!$H$30)/('B1 '!$G$31-'B1 '!$G$30))*(L164-'B1 '!$G$30),0))</f>
        <v>0</v>
      </c>
      <c r="N164" s="415"/>
      <c r="O164" s="434"/>
      <c r="P164" s="612"/>
      <c r="Q164" s="436"/>
      <c r="R164" s="436"/>
      <c r="S164" s="612"/>
      <c r="T164" s="436"/>
      <c r="U164" s="436"/>
      <c r="V164" s="612"/>
      <c r="W164" s="436"/>
      <c r="X164" s="436"/>
      <c r="Y164" s="612"/>
      <c r="Z164" s="436">
        <v>44</v>
      </c>
      <c r="AA164" s="436">
        <f>IF(Z164&lt;='B1 '!$L$31,'B1 '!$M$31,IF(AND(Z164&lt;='B1 '!$L$30,Z164&gt;'B1 '!$L$31),0+(('B1 '!$M$31-'B1 '!$M$30)/('B1 '!$L$31-'B1 '!$L$30))*(Z164-'B1 '!$L$30),0))</f>
        <v>8.1818181818181817</v>
      </c>
      <c r="AB164" s="183"/>
    </row>
    <row r="165" spans="2:28">
      <c r="B165" s="182"/>
      <c r="C165" s="435"/>
      <c r="D165" s="435"/>
      <c r="E165" s="415"/>
      <c r="F165" s="435"/>
      <c r="G165" s="435"/>
      <c r="H165" s="415"/>
      <c r="I165" s="435"/>
      <c r="J165" s="435"/>
      <c r="K165" s="415"/>
      <c r="L165" s="435">
        <v>44.5</v>
      </c>
      <c r="M165" s="435">
        <f>IF(L165&lt;='B1 '!$G$31,'B1 '!$H$31,IF(AND(L165&lt;='B1 '!$G$30,L165&gt;'B1 '!$G$31),0+(('B1 '!$H$31-'B1 '!$H$30)/('B1 '!$G$31-'B1 '!$G$30))*(L165-'B1 '!$G$30),0))</f>
        <v>0</v>
      </c>
      <c r="N165" s="415"/>
      <c r="O165" s="434"/>
      <c r="P165" s="612"/>
      <c r="Q165" s="436"/>
      <c r="R165" s="436"/>
      <c r="S165" s="612"/>
      <c r="T165" s="436"/>
      <c r="U165" s="436"/>
      <c r="V165" s="612"/>
      <c r="W165" s="436"/>
      <c r="X165" s="436"/>
      <c r="Y165" s="612"/>
      <c r="Z165" s="436">
        <v>44.5</v>
      </c>
      <c r="AA165" s="436">
        <f>IF(Z165&lt;='B1 '!$L$31,'B1 '!$M$31,IF(AND(Z165&lt;='B1 '!$L$30,Z165&gt;'B1 '!$L$31),0+(('B1 '!$M$31-'B1 '!$M$30)/('B1 '!$L$31-'B1 '!$L$30))*(Z165-'B1 '!$L$30),0))</f>
        <v>4.0909090909090908</v>
      </c>
      <c r="AB165" s="183"/>
    </row>
    <row r="166" spans="2:28">
      <c r="B166" s="182"/>
      <c r="C166" s="435"/>
      <c r="D166" s="435"/>
      <c r="E166" s="415"/>
      <c r="F166" s="435"/>
      <c r="G166" s="435"/>
      <c r="H166" s="415"/>
      <c r="I166" s="435"/>
      <c r="J166" s="435"/>
      <c r="K166" s="415"/>
      <c r="L166" s="435">
        <v>45</v>
      </c>
      <c r="M166" s="435">
        <f>IF(L166&lt;='B1 '!$G$31,'B1 '!$H$31,IF(AND(L166&lt;='B1 '!$G$30,L166&gt;'B1 '!$G$31),0+(('B1 '!$H$31-'B1 '!$H$30)/('B1 '!$G$31-'B1 '!$G$30))*(L166-'B1 '!$G$30),0))</f>
        <v>0</v>
      </c>
      <c r="N166" s="415"/>
      <c r="O166" s="434"/>
      <c r="P166" s="612"/>
      <c r="Q166" s="436"/>
      <c r="R166" s="436"/>
      <c r="S166" s="612"/>
      <c r="T166" s="436"/>
      <c r="U166" s="436"/>
      <c r="V166" s="612"/>
      <c r="W166" s="436"/>
      <c r="X166" s="436"/>
      <c r="Y166" s="612"/>
      <c r="Z166" s="436">
        <v>45</v>
      </c>
      <c r="AA166" s="436">
        <f>IF(Z166&lt;='B1 '!$L$31,'B1 '!$M$31,IF(AND(Z166&lt;='B1 '!$L$30,Z166&gt;'B1 '!$L$31),0+(('B1 '!$M$31-'B1 '!$M$30)/('B1 '!$L$31-'B1 '!$L$30))*(Z166-'B1 '!$L$30),0))</f>
        <v>0</v>
      </c>
      <c r="AB166" s="183"/>
    </row>
    <row r="167" spans="2:28">
      <c r="B167" s="182"/>
      <c r="C167" s="435"/>
      <c r="D167" s="435"/>
      <c r="E167" s="415"/>
      <c r="F167" s="435"/>
      <c r="G167" s="435"/>
      <c r="H167" s="415"/>
      <c r="I167" s="435"/>
      <c r="J167" s="435"/>
      <c r="K167" s="415"/>
      <c r="L167" s="435">
        <v>45.5</v>
      </c>
      <c r="M167" s="435">
        <f>IF(L167&lt;='B1 '!$G$31,'B1 '!$H$31,IF(AND(L167&lt;='B1 '!$G$30,L167&gt;'B1 '!$G$31),0+(('B1 '!$H$31-'B1 '!$H$30)/('B1 '!$G$31-'B1 '!$G$30))*(L167-'B1 '!$G$30),0))</f>
        <v>0</v>
      </c>
      <c r="N167" s="415"/>
      <c r="O167" s="434"/>
      <c r="P167" s="612"/>
      <c r="Q167" s="436"/>
      <c r="R167" s="436"/>
      <c r="S167" s="612"/>
      <c r="T167" s="436"/>
      <c r="U167" s="436"/>
      <c r="V167" s="612"/>
      <c r="W167" s="436"/>
      <c r="X167" s="436"/>
      <c r="Y167" s="612"/>
      <c r="Z167" s="436">
        <v>45.5</v>
      </c>
      <c r="AA167" s="436">
        <f>IF(Z167&lt;='B1 '!$L$31,'B1 '!$M$31,IF(AND(Z167&lt;='B1 '!$L$30,Z167&gt;'B1 '!$L$31),0+(('B1 '!$M$31-'B1 '!$M$30)/('B1 '!$L$31-'B1 '!$L$30))*(Z167-'B1 '!$L$30),0))</f>
        <v>0</v>
      </c>
      <c r="AB167" s="183"/>
    </row>
    <row r="168" spans="2:28">
      <c r="B168" s="182"/>
      <c r="C168" s="435"/>
      <c r="D168" s="435"/>
      <c r="E168" s="415"/>
      <c r="F168" s="435"/>
      <c r="G168" s="435"/>
      <c r="H168" s="415"/>
      <c r="I168" s="435"/>
      <c r="J168" s="435"/>
      <c r="K168" s="415"/>
      <c r="L168" s="435">
        <v>46</v>
      </c>
      <c r="M168" s="435">
        <f>IF(L168&lt;='B1 '!$G$31,'B1 '!$H$31,IF(AND(L168&lt;='B1 '!$G$30,L168&gt;'B1 '!$G$31),0+(('B1 '!$H$31-'B1 '!$H$30)/('B1 '!$G$31-'B1 '!$G$30))*(L168-'B1 '!$G$30),0))</f>
        <v>0</v>
      </c>
      <c r="N168" s="415"/>
      <c r="O168" s="434"/>
      <c r="P168" s="612"/>
      <c r="Q168" s="436"/>
      <c r="R168" s="436"/>
      <c r="S168" s="612"/>
      <c r="T168" s="436"/>
      <c r="U168" s="436"/>
      <c r="V168" s="612"/>
      <c r="W168" s="436"/>
      <c r="X168" s="436"/>
      <c r="Y168" s="612"/>
      <c r="Z168" s="436">
        <v>46</v>
      </c>
      <c r="AA168" s="436">
        <f>IF(Z168&lt;='B1 '!$L$31,'B1 '!$M$31,IF(AND(Z168&lt;='B1 '!$L$30,Z168&gt;'B1 '!$L$31),0+(('B1 '!$M$31-'B1 '!$M$30)/('B1 '!$L$31-'B1 '!$L$30))*(Z168-'B1 '!$L$30),0))</f>
        <v>0</v>
      </c>
      <c r="AB168" s="183"/>
    </row>
    <row r="169" spans="2:28">
      <c r="B169" s="182"/>
      <c r="C169" s="435"/>
      <c r="D169" s="435"/>
      <c r="E169" s="415"/>
      <c r="F169" s="435"/>
      <c r="G169" s="435"/>
      <c r="H169" s="415"/>
      <c r="I169" s="435"/>
      <c r="J169" s="435"/>
      <c r="K169" s="415"/>
      <c r="L169" s="435">
        <v>46.5</v>
      </c>
      <c r="M169" s="435">
        <f>IF(L169&lt;='B1 '!$G$31,'B1 '!$H$31,IF(AND(L169&lt;='B1 '!$G$30,L169&gt;'B1 '!$G$31),0+(('B1 '!$H$31-'B1 '!$H$30)/('B1 '!$G$31-'B1 '!$G$30))*(L169-'B1 '!$G$30),0))</f>
        <v>0</v>
      </c>
      <c r="N169" s="415"/>
      <c r="O169" s="434"/>
      <c r="P169" s="612"/>
      <c r="Q169" s="436"/>
      <c r="R169" s="436"/>
      <c r="S169" s="612"/>
      <c r="T169" s="436"/>
      <c r="U169" s="436"/>
      <c r="V169" s="612"/>
      <c r="W169" s="436"/>
      <c r="X169" s="436"/>
      <c r="Y169" s="612"/>
      <c r="Z169" s="436">
        <v>46.5</v>
      </c>
      <c r="AA169" s="436">
        <f>IF(Z169&lt;='B1 '!$L$31,'B1 '!$M$31,IF(AND(Z169&lt;='B1 '!$L$30,Z169&gt;'B1 '!$L$31),0+(('B1 '!$M$31-'B1 '!$M$30)/('B1 '!$L$31-'B1 '!$L$30))*(Z169-'B1 '!$L$30),0))</f>
        <v>0</v>
      </c>
      <c r="AB169" s="183"/>
    </row>
    <row r="170" spans="2:28">
      <c r="B170" s="182"/>
      <c r="C170" s="435"/>
      <c r="D170" s="435"/>
      <c r="E170" s="415"/>
      <c r="F170" s="435"/>
      <c r="G170" s="435"/>
      <c r="H170" s="415"/>
      <c r="I170" s="435"/>
      <c r="J170" s="435"/>
      <c r="K170" s="415"/>
      <c r="L170" s="435">
        <v>47</v>
      </c>
      <c r="M170" s="435">
        <f>IF(L170&lt;='B1 '!$G$31,'B1 '!$H$31,IF(AND(L170&lt;='B1 '!$G$30,L170&gt;'B1 '!$G$31),0+(('B1 '!$H$31-'B1 '!$H$30)/('B1 '!$G$31-'B1 '!$G$30))*(L170-'B1 '!$G$30),0))</f>
        <v>0</v>
      </c>
      <c r="N170" s="415"/>
      <c r="O170" s="434"/>
      <c r="P170" s="612"/>
      <c r="Q170" s="436"/>
      <c r="R170" s="436"/>
      <c r="S170" s="612"/>
      <c r="T170" s="436"/>
      <c r="U170" s="436"/>
      <c r="V170" s="612"/>
      <c r="W170" s="436"/>
      <c r="X170" s="436"/>
      <c r="Y170" s="612"/>
      <c r="Z170" s="436">
        <v>47</v>
      </c>
      <c r="AA170" s="436">
        <f>IF(Z170&lt;='B1 '!$L$31,'B1 '!$M$31,IF(AND(Z170&lt;='B1 '!$L$30,Z170&gt;'B1 '!$L$31),0+(('B1 '!$M$31-'B1 '!$M$30)/('B1 '!$L$31-'B1 '!$L$30))*(Z170-'B1 '!$L$30),0))</f>
        <v>0</v>
      </c>
      <c r="AB170" s="183"/>
    </row>
    <row r="171" spans="2:28">
      <c r="B171" s="182"/>
      <c r="C171" s="435"/>
      <c r="D171" s="435"/>
      <c r="E171" s="415"/>
      <c r="F171" s="435"/>
      <c r="G171" s="435"/>
      <c r="H171" s="415"/>
      <c r="I171" s="435"/>
      <c r="J171" s="435"/>
      <c r="K171" s="415"/>
      <c r="L171" s="435">
        <v>47.5</v>
      </c>
      <c r="M171" s="435">
        <f>IF(L171&lt;='B1 '!$G$31,'B1 '!$H$31,IF(AND(L171&lt;='B1 '!$G$30,L171&gt;'B1 '!$G$31),0+(('B1 '!$H$31-'B1 '!$H$30)/('B1 '!$G$31-'B1 '!$G$30))*(L171-'B1 '!$G$30),0))</f>
        <v>0</v>
      </c>
      <c r="N171" s="415"/>
      <c r="O171" s="434"/>
      <c r="P171" s="612"/>
      <c r="Q171" s="436"/>
      <c r="R171" s="436"/>
      <c r="S171" s="612"/>
      <c r="T171" s="436"/>
      <c r="U171" s="436"/>
      <c r="V171" s="612"/>
      <c r="W171" s="436"/>
      <c r="X171" s="436"/>
      <c r="Y171" s="612"/>
      <c r="Z171" s="436">
        <v>47.5</v>
      </c>
      <c r="AA171" s="436">
        <f>IF(Z171&lt;='B1 '!$L$31,'B1 '!$M$31,IF(AND(Z171&lt;='B1 '!$L$30,Z171&gt;'B1 '!$L$31),0+(('B1 '!$M$31-'B1 '!$M$30)/('B1 '!$L$31-'B1 '!$L$30))*(Z171-'B1 '!$L$30),0))</f>
        <v>0</v>
      </c>
      <c r="AB171" s="183"/>
    </row>
    <row r="172" spans="2:28">
      <c r="B172" s="182"/>
      <c r="C172" s="435"/>
      <c r="D172" s="435"/>
      <c r="E172" s="415"/>
      <c r="F172" s="435"/>
      <c r="G172" s="435"/>
      <c r="H172" s="415"/>
      <c r="I172" s="435"/>
      <c r="J172" s="435"/>
      <c r="K172" s="415"/>
      <c r="L172" s="435">
        <v>48</v>
      </c>
      <c r="M172" s="435">
        <f>IF(L172&lt;='B1 '!$G$31,'B1 '!$H$31,IF(AND(L172&lt;='B1 '!$G$30,L172&gt;'B1 '!$G$31),0+(('B1 '!$H$31-'B1 '!$H$30)/('B1 '!$G$31-'B1 '!$G$30))*(L172-'B1 '!$G$30),0))</f>
        <v>0</v>
      </c>
      <c r="N172" s="415"/>
      <c r="O172" s="434"/>
      <c r="P172" s="612"/>
      <c r="Q172" s="436"/>
      <c r="R172" s="436"/>
      <c r="S172" s="612"/>
      <c r="T172" s="436"/>
      <c r="U172" s="436"/>
      <c r="V172" s="612"/>
      <c r="W172" s="436"/>
      <c r="X172" s="436"/>
      <c r="Y172" s="612"/>
      <c r="Z172" s="436">
        <v>48</v>
      </c>
      <c r="AA172" s="436">
        <f>IF(Z172&lt;='B1 '!$L$31,'B1 '!$M$31,IF(AND(Z172&lt;='B1 '!$L$30,Z172&gt;'B1 '!$L$31),0+(('B1 '!$M$31-'B1 '!$M$30)/('B1 '!$L$31-'B1 '!$L$30))*(Z172-'B1 '!$L$30),0))</f>
        <v>0</v>
      </c>
      <c r="AB172" s="183"/>
    </row>
    <row r="173" spans="2:28">
      <c r="B173" s="182"/>
      <c r="C173" s="435"/>
      <c r="D173" s="435"/>
      <c r="E173" s="415"/>
      <c r="F173" s="435"/>
      <c r="G173" s="435"/>
      <c r="H173" s="415"/>
      <c r="I173" s="435"/>
      <c r="J173" s="435"/>
      <c r="K173" s="415"/>
      <c r="L173" s="435">
        <v>48.5</v>
      </c>
      <c r="M173" s="435">
        <f>IF(L173&lt;='B1 '!$G$31,'B1 '!$H$31,IF(AND(L173&lt;='B1 '!$G$30,L173&gt;'B1 '!$G$31),0+(('B1 '!$H$31-'B1 '!$H$30)/('B1 '!$G$31-'B1 '!$G$30))*(L173-'B1 '!$G$30),0))</f>
        <v>0</v>
      </c>
      <c r="N173" s="415"/>
      <c r="O173" s="434"/>
      <c r="P173" s="612"/>
      <c r="Q173" s="436"/>
      <c r="R173" s="436"/>
      <c r="S173" s="612"/>
      <c r="T173" s="436"/>
      <c r="U173" s="436"/>
      <c r="V173" s="612"/>
      <c r="W173" s="436"/>
      <c r="X173" s="436"/>
      <c r="Y173" s="612"/>
      <c r="Z173" s="436">
        <v>48.5</v>
      </c>
      <c r="AA173" s="436">
        <f>IF(Z173&lt;='B1 '!$L$31,'B1 '!$M$31,IF(AND(Z173&lt;='B1 '!$L$30,Z173&gt;'B1 '!$L$31),0+(('B1 '!$M$31-'B1 '!$M$30)/('B1 '!$L$31-'B1 '!$L$30))*(Z173-'B1 '!$L$30),0))</f>
        <v>0</v>
      </c>
      <c r="AB173" s="183"/>
    </row>
    <row r="174" spans="2:28">
      <c r="B174" s="182"/>
      <c r="C174" s="435"/>
      <c r="D174" s="435"/>
      <c r="E174" s="415"/>
      <c r="F174" s="435"/>
      <c r="G174" s="435"/>
      <c r="H174" s="415"/>
      <c r="I174" s="435"/>
      <c r="J174" s="435"/>
      <c r="K174" s="415"/>
      <c r="L174" s="435">
        <v>49</v>
      </c>
      <c r="M174" s="435">
        <f>IF(L174&lt;='B1 '!$G$31,'B1 '!$H$31,IF(AND(L174&lt;='B1 '!$G$30,L174&gt;'B1 '!$G$31),0+(('B1 '!$H$31-'B1 '!$H$30)/('B1 '!$G$31-'B1 '!$G$30))*(L174-'B1 '!$G$30),0))</f>
        <v>0</v>
      </c>
      <c r="N174" s="415"/>
      <c r="O174" s="434"/>
      <c r="P174" s="612"/>
      <c r="Q174" s="436"/>
      <c r="R174" s="436"/>
      <c r="S174" s="612"/>
      <c r="T174" s="436"/>
      <c r="U174" s="436"/>
      <c r="V174" s="612"/>
      <c r="W174" s="436"/>
      <c r="X174" s="436"/>
      <c r="Y174" s="612"/>
      <c r="Z174" s="436">
        <v>49</v>
      </c>
      <c r="AA174" s="436">
        <f>IF(Z174&lt;='B1 '!$L$31,'B1 '!$M$31,IF(AND(Z174&lt;='B1 '!$L$30,Z174&gt;'B1 '!$L$31),0+(('B1 '!$M$31-'B1 '!$M$30)/('B1 '!$L$31-'B1 '!$L$30))*(Z174-'B1 '!$L$30),0))</f>
        <v>0</v>
      </c>
      <c r="AB174" s="183"/>
    </row>
    <row r="175" spans="2:28">
      <c r="B175" s="182"/>
      <c r="C175" s="435"/>
      <c r="D175" s="435"/>
      <c r="E175" s="415"/>
      <c r="F175" s="435"/>
      <c r="G175" s="435"/>
      <c r="H175" s="415"/>
      <c r="I175" s="435"/>
      <c r="J175" s="435"/>
      <c r="K175" s="415"/>
      <c r="L175" s="435">
        <v>49.5</v>
      </c>
      <c r="M175" s="435">
        <f>IF(L175&lt;='B1 '!$G$31,'B1 '!$H$31,IF(AND(L175&lt;='B1 '!$G$30,L175&gt;'B1 '!$G$31),0+(('B1 '!$H$31-'B1 '!$H$30)/('B1 '!$G$31-'B1 '!$G$30))*(L175-'B1 '!$G$30),0))</f>
        <v>0</v>
      </c>
      <c r="N175" s="415"/>
      <c r="O175" s="434"/>
      <c r="P175" s="612"/>
      <c r="Q175" s="436"/>
      <c r="R175" s="436"/>
      <c r="S175" s="612"/>
      <c r="T175" s="436"/>
      <c r="U175" s="436"/>
      <c r="V175" s="612"/>
      <c r="W175" s="436"/>
      <c r="X175" s="436"/>
      <c r="Y175" s="612"/>
      <c r="Z175" s="436">
        <v>49.5</v>
      </c>
      <c r="AA175" s="436">
        <f>IF(Z175&lt;='B1 '!$L$31,'B1 '!$M$31,IF(AND(Z175&lt;='B1 '!$L$30,Z175&gt;'B1 '!$L$31),0+(('B1 '!$M$31-'B1 '!$M$30)/('B1 '!$L$31-'B1 '!$L$30))*(Z175-'B1 '!$L$30),0))</f>
        <v>0</v>
      </c>
      <c r="AB175" s="183"/>
    </row>
    <row r="176" spans="2:28">
      <c r="B176" s="182"/>
      <c r="C176" s="435"/>
      <c r="D176" s="435"/>
      <c r="E176" s="415"/>
      <c r="F176" s="435"/>
      <c r="G176" s="435"/>
      <c r="H176" s="415"/>
      <c r="I176" s="435"/>
      <c r="J176" s="435"/>
      <c r="K176" s="415"/>
      <c r="L176" s="435">
        <v>50</v>
      </c>
      <c r="M176" s="435">
        <f>IF(L176&lt;='B1 '!$G$31,'B1 '!$H$31,IF(AND(L176&lt;='B1 '!$G$30,L176&gt;'B1 '!$G$31),0+(('B1 '!$H$31-'B1 '!$H$30)/('B1 '!$G$31-'B1 '!$G$30))*(L176-'B1 '!$G$30),0))</f>
        <v>0</v>
      </c>
      <c r="N176" s="415"/>
      <c r="O176" s="434"/>
      <c r="P176" s="612"/>
      <c r="Q176" s="436"/>
      <c r="R176" s="436"/>
      <c r="S176" s="612"/>
      <c r="T176" s="436"/>
      <c r="U176" s="436"/>
      <c r="V176" s="612"/>
      <c r="W176" s="436"/>
      <c r="X176" s="436"/>
      <c r="Y176" s="612"/>
      <c r="Z176" s="436">
        <v>50</v>
      </c>
      <c r="AA176" s="436">
        <f>IF(Z176&lt;='B1 '!$L$31,'B1 '!$M$31,IF(AND(Z176&lt;='B1 '!$L$30,Z176&gt;'B1 '!$L$31),0+(('B1 '!$M$31-'B1 '!$M$30)/('B1 '!$L$31-'B1 '!$L$30))*(Z176-'B1 '!$L$30),0))</f>
        <v>0</v>
      </c>
      <c r="AB176" s="183"/>
    </row>
    <row r="177" spans="2:28">
      <c r="B177" s="182"/>
      <c r="C177" s="415"/>
      <c r="D177" s="415"/>
      <c r="E177" s="415"/>
      <c r="F177" s="415"/>
      <c r="G177" s="415"/>
      <c r="H177" s="415"/>
      <c r="I177" s="415"/>
      <c r="J177" s="415"/>
      <c r="K177" s="415"/>
      <c r="L177" s="415"/>
      <c r="M177" s="415"/>
      <c r="N177" s="415"/>
      <c r="O177" s="434"/>
      <c r="P177" s="612"/>
      <c r="Q177" s="612"/>
      <c r="R177" s="612"/>
      <c r="S177" s="612"/>
      <c r="T177" s="612"/>
      <c r="U177" s="612"/>
      <c r="V177" s="612"/>
      <c r="W177" s="612"/>
      <c r="X177" s="612"/>
      <c r="Y177" s="612"/>
      <c r="Z177" s="612"/>
      <c r="AA177" s="612"/>
      <c r="AB177" s="183"/>
    </row>
    <row r="178" spans="2:28">
      <c r="B178" s="182"/>
      <c r="C178" s="415"/>
      <c r="D178" s="415"/>
      <c r="E178" s="415"/>
      <c r="F178" s="415"/>
      <c r="G178" s="415"/>
      <c r="H178" s="415"/>
      <c r="I178" s="415"/>
      <c r="J178" s="415"/>
      <c r="K178" s="415"/>
      <c r="L178" s="415"/>
      <c r="M178" s="415"/>
      <c r="N178" s="415"/>
      <c r="O178" s="434"/>
      <c r="P178" s="612"/>
      <c r="Q178" s="612"/>
      <c r="R178" s="612"/>
      <c r="S178" s="612"/>
      <c r="T178" s="612"/>
      <c r="U178" s="612"/>
      <c r="V178" s="612"/>
      <c r="W178" s="612"/>
      <c r="X178" s="612"/>
      <c r="Y178" s="612"/>
      <c r="Z178" s="612"/>
      <c r="AA178" s="612"/>
      <c r="AB178" s="183"/>
    </row>
    <row r="179" spans="2:28">
      <c r="B179" s="182"/>
      <c r="C179" s="415"/>
      <c r="D179" s="415"/>
      <c r="E179" s="415"/>
      <c r="F179" s="415"/>
      <c r="G179" s="415"/>
      <c r="H179" s="415"/>
      <c r="I179" s="415"/>
      <c r="J179" s="415"/>
      <c r="K179" s="415"/>
      <c r="L179" s="415"/>
      <c r="M179" s="415"/>
      <c r="N179" s="415"/>
      <c r="O179" s="434"/>
      <c r="P179" s="612"/>
      <c r="Q179" s="612"/>
      <c r="R179" s="612"/>
      <c r="S179" s="612"/>
      <c r="T179" s="612"/>
      <c r="U179" s="612"/>
      <c r="V179" s="612"/>
      <c r="W179" s="612"/>
      <c r="X179" s="612"/>
      <c r="Y179" s="612"/>
      <c r="Z179" s="612"/>
      <c r="AA179" s="612"/>
      <c r="AB179" s="183"/>
    </row>
    <row r="180" spans="2:28">
      <c r="C180" s="434"/>
      <c r="D180" s="434"/>
      <c r="E180" s="434"/>
      <c r="F180" s="434"/>
      <c r="G180" s="434"/>
      <c r="H180" s="434"/>
      <c r="I180" s="434"/>
      <c r="J180" s="434"/>
      <c r="K180" s="434"/>
      <c r="L180" s="434"/>
      <c r="M180" s="434"/>
      <c r="N180" s="434"/>
      <c r="O180" s="434"/>
      <c r="P180" s="434"/>
      <c r="Q180" s="434"/>
      <c r="R180" s="434"/>
      <c r="S180" s="434"/>
      <c r="T180" s="434"/>
      <c r="U180" s="434"/>
      <c r="V180" s="434"/>
      <c r="W180" s="434"/>
      <c r="X180" s="434"/>
      <c r="Y180" s="434"/>
      <c r="Z180" s="434"/>
      <c r="AA180" s="434"/>
    </row>
  </sheetData>
  <mergeCells count="10">
    <mergeCell ref="B2:N3"/>
    <mergeCell ref="P2:AB3"/>
    <mergeCell ref="C74:D74"/>
    <mergeCell ref="F74:G74"/>
    <mergeCell ref="I74:J74"/>
    <mergeCell ref="L74:M74"/>
    <mergeCell ref="Q74:R74"/>
    <mergeCell ref="T74:U74"/>
    <mergeCell ref="W74:X74"/>
    <mergeCell ref="Z74:AA74"/>
  </mergeCells>
  <pageMargins left="0.7" right="0.7" top="0.78740157499999996" bottom="0.78740157499999996" header="0.3" footer="0.3"/>
  <pageSetup paperSize="9" scale="2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O43"/>
  <sheetViews>
    <sheetView showGridLines="0" zoomScale="85" zoomScaleNormal="85" workbookViewId="0">
      <selection activeCell="AA14" sqref="AA14"/>
    </sheetView>
  </sheetViews>
  <sheetFormatPr baseColWidth="10" defaultColWidth="11.42578125" defaultRowHeight="14.25"/>
  <cols>
    <col min="1" max="1" width="55.85546875" style="1" customWidth="1"/>
    <col min="2" max="2" width="24" style="1" customWidth="1"/>
    <col min="3" max="3" width="13.85546875" style="1" customWidth="1"/>
    <col min="4" max="4" width="30.7109375" style="1" customWidth="1"/>
    <col min="5" max="5" width="7.85546875" style="1" customWidth="1"/>
    <col min="6" max="6" width="51" style="1" hidden="1" customWidth="1"/>
    <col min="7" max="7" width="11.28515625" style="1" hidden="1" customWidth="1"/>
    <col min="8" max="8" width="13.5703125" style="1" hidden="1" customWidth="1"/>
    <col min="9" max="9" width="20.28515625" style="1" hidden="1" customWidth="1"/>
    <col min="10" max="10" width="10.85546875" style="1" hidden="1" customWidth="1"/>
    <col min="11" max="11" width="16.42578125" style="1" hidden="1" customWidth="1"/>
    <col min="12" max="12" width="25.7109375" style="1" hidden="1" customWidth="1"/>
    <col min="13" max="13" width="18" style="1" hidden="1" customWidth="1"/>
    <col min="14" max="14" width="20.28515625" style="1" hidden="1" customWidth="1"/>
    <col min="15" max="15" width="30.7109375" style="1" hidden="1" customWidth="1"/>
    <col min="16" max="16" width="11.42578125" style="1" customWidth="1"/>
    <col min="17" max="16384" width="11.42578125" style="1"/>
  </cols>
  <sheetData>
    <row r="1" spans="1:14" s="105" customFormat="1" ht="24.95" customHeight="1" thickBot="1">
      <c r="A1" s="147" t="s">
        <v>438</v>
      </c>
      <c r="B1" s="147"/>
      <c r="C1" s="147"/>
      <c r="F1" s="937" t="s">
        <v>334</v>
      </c>
      <c r="G1" s="940"/>
      <c r="H1" s="941"/>
      <c r="K1" s="937" t="s">
        <v>335</v>
      </c>
      <c r="L1" s="938"/>
      <c r="M1" s="939"/>
    </row>
    <row r="2" spans="1:14" s="105" customFormat="1" ht="7.5" customHeight="1" thickBot="1">
      <c r="A2" s="299"/>
      <c r="B2" s="355"/>
      <c r="C2" s="95"/>
      <c r="D2" s="298"/>
      <c r="F2" s="105" t="s">
        <v>512</v>
      </c>
    </row>
    <row r="3" spans="1:14" s="105" customFormat="1" ht="24.95" customHeight="1">
      <c r="A3" s="358" t="str">
        <f>IF(ISTEXT(Punktevergabe!E5),CONCATENATE("Eingabefeld OIB RL-6 ", (Punktevergabe!E5),""))</f>
        <v>Eingabefeld OIB RL-6 Neubau</v>
      </c>
      <c r="B3" s="363" t="s">
        <v>6</v>
      </c>
      <c r="C3" s="359"/>
      <c r="D3" s="700" t="s">
        <v>254</v>
      </c>
      <c r="F3" s="931" t="s">
        <v>336</v>
      </c>
      <c r="G3" s="932"/>
      <c r="H3" s="933"/>
      <c r="I3" s="701" t="s">
        <v>254</v>
      </c>
      <c r="K3" s="963" t="s">
        <v>337</v>
      </c>
      <c r="L3" s="964"/>
      <c r="M3" s="965"/>
      <c r="N3" s="701" t="s">
        <v>254</v>
      </c>
    </row>
    <row r="4" spans="1:14" s="107" customFormat="1" ht="24.95" customHeight="1">
      <c r="A4" s="2" t="s">
        <v>212</v>
      </c>
      <c r="B4" s="357"/>
      <c r="C4" s="106" t="s">
        <v>213</v>
      </c>
      <c r="D4" s="689"/>
      <c r="F4" s="288" t="s">
        <v>212</v>
      </c>
      <c r="G4" s="424">
        <f>IF(AND(ISNUMBER(B4)),B4,IF(AND(ISBLANK(B4)),0,B4))</f>
        <v>0</v>
      </c>
      <c r="H4" s="429" t="s">
        <v>213</v>
      </c>
      <c r="I4" s="691"/>
      <c r="K4" s="288" t="s">
        <v>212</v>
      </c>
      <c r="L4" s="424">
        <f>IF(AND(ISNUMBER(B4)),B4,IF(AND(ISBLANK(B4)),0,B4))</f>
        <v>0</v>
      </c>
      <c r="M4" s="426" t="s">
        <v>213</v>
      </c>
      <c r="N4" s="695"/>
    </row>
    <row r="5" spans="1:14" s="107" customFormat="1" ht="24.95" customHeight="1">
      <c r="A5" s="187" t="s">
        <v>346</v>
      </c>
      <c r="B5" s="357"/>
      <c r="C5" s="106" t="s">
        <v>343</v>
      </c>
      <c r="D5" s="689"/>
      <c r="F5" s="288" t="s">
        <v>346</v>
      </c>
      <c r="G5" s="424" t="str">
        <f>IF(AND(ISNUMBER(B5)),B5,"")</f>
        <v/>
      </c>
      <c r="H5" s="429" t="s">
        <v>343</v>
      </c>
      <c r="I5" s="691"/>
      <c r="K5" s="288" t="s">
        <v>346</v>
      </c>
      <c r="L5" s="424" t="str">
        <f t="shared" ref="L5:L14" si="0">IF(AND(ISNUMBER(B5)),B5,"")</f>
        <v/>
      </c>
      <c r="M5" s="426" t="s">
        <v>343</v>
      </c>
      <c r="N5" s="695"/>
    </row>
    <row r="6" spans="1:14" s="107" customFormat="1" ht="24.95" customHeight="1">
      <c r="A6" s="2" t="s">
        <v>310</v>
      </c>
      <c r="B6" s="357"/>
      <c r="C6" s="106" t="s">
        <v>267</v>
      </c>
      <c r="D6" s="689"/>
      <c r="F6" s="288" t="s">
        <v>310</v>
      </c>
      <c r="G6" s="424" t="str">
        <f t="shared" ref="G6:G16" si="1">IF(AND(ISNUMBER(B6)),B6,"")</f>
        <v/>
      </c>
      <c r="H6" s="429" t="s">
        <v>267</v>
      </c>
      <c r="I6" s="691"/>
      <c r="K6" s="288" t="s">
        <v>310</v>
      </c>
      <c r="L6" s="424" t="str">
        <f t="shared" si="0"/>
        <v/>
      </c>
      <c r="M6" s="426" t="s">
        <v>267</v>
      </c>
      <c r="N6" s="695"/>
    </row>
    <row r="7" spans="1:14" s="107" customFormat="1" ht="24.95" customHeight="1">
      <c r="A7" s="288" t="s">
        <v>344</v>
      </c>
      <c r="B7" s="357"/>
      <c r="C7" s="186"/>
      <c r="D7" s="689"/>
      <c r="F7" s="115" t="s">
        <v>344</v>
      </c>
      <c r="G7" s="424" t="str">
        <f t="shared" si="1"/>
        <v/>
      </c>
      <c r="H7" s="429"/>
      <c r="I7" s="691"/>
      <c r="K7" s="288" t="s">
        <v>344</v>
      </c>
      <c r="L7" s="424" t="str">
        <f t="shared" si="0"/>
        <v/>
      </c>
      <c r="M7" s="426"/>
      <c r="N7" s="695"/>
    </row>
    <row r="8" spans="1:14" s="107" customFormat="1" ht="24.95" customHeight="1">
      <c r="A8" s="288" t="s">
        <v>341</v>
      </c>
      <c r="B8" s="357"/>
      <c r="C8" s="106" t="s">
        <v>61</v>
      </c>
      <c r="D8" s="689"/>
      <c r="F8" s="288" t="s">
        <v>341</v>
      </c>
      <c r="G8" s="424" t="str">
        <f t="shared" si="1"/>
        <v/>
      </c>
      <c r="H8" s="429" t="s">
        <v>61</v>
      </c>
      <c r="I8" s="691"/>
      <c r="K8" s="288" t="s">
        <v>341</v>
      </c>
      <c r="L8" s="424" t="str">
        <f t="shared" si="0"/>
        <v/>
      </c>
      <c r="M8" s="426" t="s">
        <v>61</v>
      </c>
      <c r="N8" s="695"/>
    </row>
    <row r="9" spans="1:14" s="107" customFormat="1" ht="24.95" customHeight="1">
      <c r="A9" s="288" t="s">
        <v>356</v>
      </c>
      <c r="B9" s="357"/>
      <c r="C9" s="106" t="s">
        <v>61</v>
      </c>
      <c r="D9" s="689"/>
      <c r="F9" s="288" t="s">
        <v>356</v>
      </c>
      <c r="G9" s="424" t="str">
        <f>IF(AND(ISNUMBER(B9),(B9&gt;0)),B9,"")</f>
        <v/>
      </c>
      <c r="H9" s="429" t="s">
        <v>61</v>
      </c>
      <c r="I9" s="691"/>
      <c r="K9" s="288" t="s">
        <v>356</v>
      </c>
      <c r="L9" s="424" t="str">
        <f>IF(AND(ISNUMBER(B9),(B9&gt;0)),B9,"")</f>
        <v/>
      </c>
      <c r="M9" s="426" t="s">
        <v>61</v>
      </c>
      <c r="N9" s="695"/>
    </row>
    <row r="10" spans="1:14" s="107" customFormat="1" ht="24.95" customHeight="1">
      <c r="A10" s="115" t="s">
        <v>357</v>
      </c>
      <c r="B10" s="357"/>
      <c r="C10" s="186" t="s">
        <v>342</v>
      </c>
      <c r="D10" s="689"/>
      <c r="F10" s="288" t="s">
        <v>357</v>
      </c>
      <c r="G10" s="424" t="str">
        <f t="shared" si="1"/>
        <v/>
      </c>
      <c r="H10" s="429" t="s">
        <v>342</v>
      </c>
      <c r="I10" s="691"/>
      <c r="K10" s="288" t="s">
        <v>357</v>
      </c>
      <c r="L10" s="424" t="str">
        <f t="shared" si="0"/>
        <v/>
      </c>
      <c r="M10" s="426" t="s">
        <v>342</v>
      </c>
      <c r="N10" s="695"/>
    </row>
    <row r="11" spans="1:14" s="107" customFormat="1" ht="24.95" customHeight="1">
      <c r="A11" s="2" t="s">
        <v>309</v>
      </c>
      <c r="B11" s="357"/>
      <c r="C11" s="106" t="s">
        <v>267</v>
      </c>
      <c r="D11" s="690"/>
      <c r="F11" s="288" t="s">
        <v>309</v>
      </c>
      <c r="G11" s="424" t="str">
        <f t="shared" si="1"/>
        <v/>
      </c>
      <c r="H11" s="429" t="s">
        <v>267</v>
      </c>
      <c r="I11" s="692"/>
      <c r="K11" s="288" t="s">
        <v>309</v>
      </c>
      <c r="L11" s="424" t="str">
        <f t="shared" si="0"/>
        <v/>
      </c>
      <c r="M11" s="426" t="s">
        <v>267</v>
      </c>
      <c r="N11" s="696"/>
    </row>
    <row r="12" spans="1:14" s="107" customFormat="1" ht="24.95" customHeight="1">
      <c r="A12" s="114" t="s">
        <v>311</v>
      </c>
      <c r="B12" s="357"/>
      <c r="C12" s="24" t="s">
        <v>267</v>
      </c>
      <c r="D12" s="689"/>
      <c r="F12" s="297" t="s">
        <v>311</v>
      </c>
      <c r="G12" s="424" t="str">
        <f>IF(AND(ISNUMBER(B12)),B12,"")</f>
        <v/>
      </c>
      <c r="H12" s="430" t="s">
        <v>267</v>
      </c>
      <c r="I12" s="693"/>
      <c r="K12" s="288" t="s">
        <v>311</v>
      </c>
      <c r="L12" s="424" t="str">
        <f t="shared" si="0"/>
        <v/>
      </c>
      <c r="M12" s="426" t="s">
        <v>267</v>
      </c>
      <c r="N12" s="695"/>
    </row>
    <row r="13" spans="1:14" s="107" customFormat="1" ht="24.95" customHeight="1">
      <c r="A13" s="114" t="s">
        <v>313</v>
      </c>
      <c r="B13" s="357"/>
      <c r="C13" s="24" t="s">
        <v>267</v>
      </c>
      <c r="D13" s="689"/>
      <c r="F13" s="297" t="s">
        <v>313</v>
      </c>
      <c r="G13" s="424" t="str">
        <f>IF(AND(ISNUMBER(B13)),B13,"")</f>
        <v/>
      </c>
      <c r="H13" s="430" t="s">
        <v>267</v>
      </c>
      <c r="I13" s="691"/>
      <c r="K13" s="288" t="s">
        <v>313</v>
      </c>
      <c r="L13" s="424" t="str">
        <f t="shared" si="0"/>
        <v/>
      </c>
      <c r="M13" s="426" t="s">
        <v>267</v>
      </c>
      <c r="N13" s="695"/>
    </row>
    <row r="14" spans="1:14" s="107" customFormat="1" ht="24.95" customHeight="1">
      <c r="A14" s="114" t="s">
        <v>314</v>
      </c>
      <c r="B14" s="357"/>
      <c r="C14" s="24" t="s">
        <v>267</v>
      </c>
      <c r="D14" s="689"/>
      <c r="F14" s="297" t="s">
        <v>314</v>
      </c>
      <c r="G14" s="424" t="str">
        <f t="shared" si="1"/>
        <v/>
      </c>
      <c r="H14" s="430" t="s">
        <v>267</v>
      </c>
      <c r="I14" s="691"/>
      <c r="K14" s="288" t="s">
        <v>314</v>
      </c>
      <c r="L14" s="424" t="str">
        <f t="shared" si="0"/>
        <v/>
      </c>
      <c r="M14" s="426" t="s">
        <v>267</v>
      </c>
      <c r="N14" s="695"/>
    </row>
    <row r="15" spans="1:14" s="107" customFormat="1" ht="24.95" customHeight="1">
      <c r="A15" s="156" t="s">
        <v>358</v>
      </c>
      <c r="B15" s="357"/>
      <c r="C15" s="161" t="s">
        <v>267</v>
      </c>
      <c r="D15" s="689"/>
      <c r="F15" s="431" t="s">
        <v>358</v>
      </c>
      <c r="G15" s="424">
        <f>IF(AND(ISNUMBER(B15),(B15&gt;=0)),B15,0)</f>
        <v>0</v>
      </c>
      <c r="H15" s="432" t="s">
        <v>267</v>
      </c>
      <c r="I15" s="691"/>
      <c r="K15" s="288" t="s">
        <v>358</v>
      </c>
      <c r="L15" s="424">
        <f>IF(AND(ISNUMBER(B15),(B15&gt;=0)),B15,0)</f>
        <v>0</v>
      </c>
      <c r="M15" s="426" t="s">
        <v>267</v>
      </c>
      <c r="N15" s="695"/>
    </row>
    <row r="16" spans="1:14" s="107" customFormat="1" ht="24.95" customHeight="1">
      <c r="A16" s="2" t="s">
        <v>416</v>
      </c>
      <c r="B16" s="357"/>
      <c r="C16" s="110" t="s">
        <v>365</v>
      </c>
      <c r="D16" s="689"/>
      <c r="F16" s="288" t="s">
        <v>312</v>
      </c>
      <c r="G16" s="424" t="str">
        <f t="shared" si="1"/>
        <v/>
      </c>
      <c r="H16" s="110" t="s">
        <v>268</v>
      </c>
      <c r="I16" s="691"/>
      <c r="K16" s="288" t="s">
        <v>312</v>
      </c>
      <c r="L16" s="424" t="str">
        <f>IF(AND(ISNUMBER(B16)),B16,"")</f>
        <v/>
      </c>
      <c r="M16" s="426" t="s">
        <v>268</v>
      </c>
      <c r="N16" s="695"/>
    </row>
    <row r="17" spans="1:14" s="107" customFormat="1" ht="24.95" customHeight="1" thickBot="1">
      <c r="A17" s="288" t="s">
        <v>308</v>
      </c>
      <c r="B17" s="357"/>
      <c r="C17" s="169" t="s">
        <v>267</v>
      </c>
      <c r="D17" s="689"/>
      <c r="F17" s="287" t="s">
        <v>308</v>
      </c>
      <c r="G17" s="425">
        <f>IF(AND(ISNUMBER(B17),(B17&gt;=0)),B17,0)</f>
        <v>0</v>
      </c>
      <c r="H17" s="433" t="s">
        <v>267</v>
      </c>
      <c r="I17" s="694"/>
      <c r="K17" s="287" t="s">
        <v>308</v>
      </c>
      <c r="L17" s="425">
        <f>IF(AND(ISNUMBER(B17),(B17&gt;=0)),B17,0)</f>
        <v>0</v>
      </c>
      <c r="M17" s="427" t="s">
        <v>267</v>
      </c>
      <c r="N17" s="697"/>
    </row>
    <row r="18" spans="1:14" s="107" customFormat="1" ht="12.75">
      <c r="A18" s="115"/>
      <c r="B18" s="356"/>
      <c r="C18" s="110"/>
      <c r="D18" s="296"/>
    </row>
    <row r="19" spans="1:14" s="107" customFormat="1" ht="12.75">
      <c r="A19" s="115"/>
      <c r="B19" s="356"/>
      <c r="C19" s="111"/>
      <c r="D19" s="116"/>
    </row>
    <row r="20" spans="1:14" s="105" customFormat="1" ht="14.25" customHeight="1" thickBot="1">
      <c r="A20" s="117"/>
      <c r="C20" s="118"/>
    </row>
    <row r="21" spans="1:14" s="105" customFormat="1" ht="24.75" customHeight="1">
      <c r="A21" s="360" t="s">
        <v>217</v>
      </c>
      <c r="B21" s="362" t="s">
        <v>6</v>
      </c>
      <c r="C21" s="361"/>
      <c r="F21" s="966" t="s">
        <v>331</v>
      </c>
      <c r="G21" s="935"/>
      <c r="H21" s="936"/>
      <c r="K21" s="966" t="s">
        <v>333</v>
      </c>
      <c r="L21" s="935"/>
      <c r="M21" s="936"/>
    </row>
    <row r="22" spans="1:14" s="105" customFormat="1" ht="24.75" customHeight="1">
      <c r="A22" s="114" t="s">
        <v>345</v>
      </c>
      <c r="B22" s="346" t="str">
        <f>IF(AND(ISTEXT(Punktevergabe!E5),(Punktevergabe!E5="Neubau")),G22,L22)</f>
        <v/>
      </c>
      <c r="C22" s="24"/>
      <c r="F22" s="114" t="s">
        <v>345</v>
      </c>
      <c r="G22" s="84" t="str">
        <f>IF(AND(ISNUMBER(G5),ISNUMBER(G7),ISNUMBER(G8),ISNUMBER(G9),ISNUMBER(G10)),ROUND(300*G10/((G8+G9)*(2+G5/(G8+G9))),1),G7)</f>
        <v/>
      </c>
      <c r="H22" s="24"/>
      <c r="I22" s="119"/>
      <c r="K22" s="114" t="s">
        <v>345</v>
      </c>
      <c r="L22" s="84" t="str">
        <f>IF(AND(ISNUMBER(L5),ISNUMBER(L7),ISNUMBER(L8),ISNUMBER(L9),ISNUMBER(L10)),ROUND(300*L10/((L8+L9)*(2+L5/(L8+L9))),1),L7)</f>
        <v/>
      </c>
      <c r="M22" s="24"/>
      <c r="N22" s="119"/>
    </row>
    <row r="23" spans="1:14" s="107" customFormat="1" ht="24.95" customHeight="1">
      <c r="A23" s="114" t="s">
        <v>31</v>
      </c>
      <c r="B23" s="346" t="str">
        <f>IF(AND(ISTEXT(Punktevergabe!E5),(Punktevergabe!E5="Neubau")),IF(G23&gt;0,G23,0),IF(L23&gt;0,L23,0))</f>
        <v/>
      </c>
      <c r="C23" s="24" t="s">
        <v>267</v>
      </c>
      <c r="F23" s="114" t="s">
        <v>31</v>
      </c>
      <c r="G23" s="188" t="str">
        <f>IF(AND(ISNUMBER(G12),ISNUMBER(G13),ISNUMBER(G14),ISNUMBER(G15),ISNUMBER(G17)),
IF(G15&lt;&gt;0,
G12-(G13*1.63)-(G14-G15)*(1.63)-(G17*1),
G12-(G13*1.63)-(0-G15)*(1.63)-(G17*1)),G12)</f>
        <v/>
      </c>
      <c r="H23" s="24" t="s">
        <v>267</v>
      </c>
      <c r="I23" s="119"/>
      <c r="K23" s="114" t="s">
        <v>31</v>
      </c>
      <c r="L23" s="188" t="str">
        <f>IF(AND(ISNUMBER(L12),ISNUMBER(L13),ISNUMBER(L14),ISNUMBER(L15),ISNUMBER(L17)),
IF(L15&lt;&gt;0,
L12-(L13*1.63)-(L14-L15)*(1.63)-(L17*1),
L12-(L13*1.63)-(0-L15)*(1.63)-(L17*1)),L12)</f>
        <v/>
      </c>
      <c r="M23" s="24" t="s">
        <v>267</v>
      </c>
      <c r="N23" s="119"/>
    </row>
    <row r="24" spans="1:14" s="107" customFormat="1" ht="24.95" customHeight="1" thickBot="1">
      <c r="A24" s="114" t="s">
        <v>361</v>
      </c>
      <c r="B24" s="346" t="str">
        <f>IF(AND(ISTEXT(Punktevergabe!E5),(Punktevergabe!E5="Neubau")),IF(G24&gt;0,G24,0),IF(L24&gt;0,L24,0))</f>
        <v/>
      </c>
      <c r="C24" s="526" t="s">
        <v>365</v>
      </c>
      <c r="F24" s="114" t="s">
        <v>62</v>
      </c>
      <c r="G24" s="188" t="str">
        <f>IF(AND(ISNUMBER(G13),ISNUMBER(G14),ISNUMBER(G15),ISNUMBER(G16),ISNUMBER(G17)),
IF(G15&lt;&gt;0,
G16-G13*0.227-(G14-G15)*0.227-(G17*0.227),
G16-G13*0.227-(0-G15)*0.227-(G17*0.227)),G16)</f>
        <v/>
      </c>
      <c r="H24" s="106" t="s">
        <v>268</v>
      </c>
      <c r="I24" s="119"/>
      <c r="K24" s="114" t="s">
        <v>62</v>
      </c>
      <c r="L24" s="188" t="str">
        <f>IF(AND(ISNUMBER(L13),ISNUMBER(L14),ISNUMBER(L15),ISNUMBER(L16),ISNUMBER(L17)),
IF(L15&lt;&gt;0,
L16-L13*0.227-(L14-L15)*0.227-(L17*0.227),
L16-L13*0.227-(0-L15)*0.227-(L17*0.227)),L16)</f>
        <v/>
      </c>
      <c r="M24" s="106" t="s">
        <v>268</v>
      </c>
      <c r="N24" s="119"/>
    </row>
    <row r="25" spans="1:14" s="119" customFormat="1" ht="24.95" customHeight="1" thickBot="1">
      <c r="A25" s="294" t="s">
        <v>316</v>
      </c>
      <c r="B25" s="293" t="str">
        <f>IF(AND(ISTEXT(Punktevergabe!E5),(Punktevergabe!E5="Neubau")),G25,L25)</f>
        <v/>
      </c>
      <c r="C25" s="530"/>
      <c r="D25" s="163"/>
      <c r="F25" s="157" t="s">
        <v>316</v>
      </c>
      <c r="G25" s="165" t="str">
        <f>IF(ISNUMBER(G6),IF(G6&lt;=G35,H35,IF(AND(G6&lt;=G34,G6&gt;G35),ROUND(H35+(H34-H35)/(G34-G35)*(G6-G35),H34),"Mindestanforderung nicht erfüllt")),"")</f>
        <v/>
      </c>
      <c r="H25" s="428"/>
      <c r="K25" s="157" t="s">
        <v>316</v>
      </c>
      <c r="L25" s="165" t="str">
        <f>IF(ISNUMBER(L6),IF(L6&lt;=L35,M35,IF(AND(L6&lt;=L34,L6&gt;L35),ROUND(M35+(M34-M35)/(L34-L35)*(L6-L35),M34),"Mindestanforderung nicht erfüllt")),"")</f>
        <v/>
      </c>
      <c r="M25" s="428"/>
    </row>
    <row r="26" spans="1:14" s="119" customFormat="1" ht="24.95" customHeight="1" thickBot="1">
      <c r="A26" s="3" t="s">
        <v>347</v>
      </c>
      <c r="B26" s="295" t="str">
        <f>IF(AND(ISTEXT(Punktevergabe!E5),(Punktevergabe!E5="Neubau")),G26,L26)</f>
        <v/>
      </c>
      <c r="C26" s="531"/>
      <c r="F26" s="159" t="s">
        <v>347</v>
      </c>
      <c r="G26" s="165" t="str">
        <f>IF(ISNUMBER(G22),IF(G22&lt;=G37,H37,IF(AND(G22&lt;=G36,G22&gt;G37),ROUND(H37+(H36-H37)/(G36-G37)*(G22-G37),H36),"Mindestanforderung nicht erfüllt")),"")</f>
        <v/>
      </c>
      <c r="H26" s="155"/>
      <c r="K26" s="159" t="s">
        <v>347</v>
      </c>
      <c r="L26" s="165" t="str">
        <f>IF(ISNUMBER(L22),IF(L22&lt;=L37,M37,IF(AND(L22&lt;=L36,L22&gt;L37),ROUND(M37+(M36-M37)/(L36-L37)*(L22-L37),M36),"Mindestanforderung nicht erfüllt")),"")</f>
        <v/>
      </c>
      <c r="M26" s="155"/>
    </row>
    <row r="27" spans="1:14" s="119" customFormat="1" ht="24.95" customHeight="1" thickBot="1">
      <c r="A27" s="294" t="s">
        <v>315</v>
      </c>
      <c r="B27" s="166" t="str">
        <f>IF(AND(ISTEXT(Punktevergabe!E5),(Punktevergabe!E5="Neubau")),G27,L27)</f>
        <v/>
      </c>
      <c r="C27" s="531"/>
      <c r="F27" s="157" t="s">
        <v>315</v>
      </c>
      <c r="G27" s="165" t="str">
        <f>IF(ISNUMBER(G11),IF(G11&lt;=G39,H39,IF(AND(G11&lt;=G38,G11&gt;G39),ROUND(H39+(H38-H39)/(G38-G39)*(G11-G39),H38),"Mindestanforderung nicht erfüllt")),"")</f>
        <v/>
      </c>
      <c r="H27" s="155"/>
      <c r="K27" s="157" t="s">
        <v>315</v>
      </c>
      <c r="L27" s="165" t="str">
        <f>IF(ISNUMBER(L11),IF(L11&lt;=L39,M39,IF(AND(L11&lt;=L38,L11&gt;L39),ROUND(M39+(M38-M39)/(L38-L39)*(L11-L39),M38),"Mindestanforderung nicht erfüllt")),"")</f>
        <v/>
      </c>
      <c r="M27" s="155"/>
    </row>
    <row r="28" spans="1:14" ht="24.95" customHeight="1" thickBot="1">
      <c r="A28" s="3" t="s">
        <v>317</v>
      </c>
      <c r="B28" s="295" t="str">
        <f>IF(AND(ISTEXT(Punktevergabe!E5),(Punktevergabe!E5="Neubau")),G28,L28)</f>
        <v/>
      </c>
      <c r="C28" s="528"/>
      <c r="D28" s="164"/>
      <c r="F28" s="159" t="s">
        <v>317</v>
      </c>
      <c r="G28" s="165" t="str">
        <f>IF(ISNUMBER(G23),IF(G23&lt;=G41,H41,IF(AND(G23&lt;=G40,G23&gt;G41),ROUND(H41+(H40-H41)/(G40-G41)*(G23-G41),H40),"Mindestanforderung nicht erfüllt")),"")</f>
        <v/>
      </c>
      <c r="H28" s="111"/>
      <c r="K28" s="159" t="s">
        <v>317</v>
      </c>
      <c r="L28" s="165" t="str">
        <f>IF(ISNUMBER(L23),IF(L23&lt;=L41,M41,IF(AND(L23&lt;=L40,L23&gt;L41),ROUND(M41+(M40-M41)/(L40-L41)*(L23-L41),M40),"Mindestanforderung nicht erfüllt")),"")</f>
        <v/>
      </c>
      <c r="M28" s="111"/>
    </row>
    <row r="29" spans="1:14" ht="24.95" customHeight="1" thickBot="1">
      <c r="A29" s="292" t="s">
        <v>417</v>
      </c>
      <c r="B29" s="293" t="str">
        <f>IF(AND(ISTEXT(Punktevergabe!E5),(Punktevergabe!E5="Neubau")),G29,L29)</f>
        <v/>
      </c>
      <c r="C29" s="162"/>
      <c r="F29" s="3" t="s">
        <v>321</v>
      </c>
      <c r="G29" s="165" t="str">
        <f>IF(ISNUMBER(G24),IF(G24&lt;=G43,H43,IF(AND(G24&lt;=G42,G24&gt;G43),ROUND(H43+(H42-H43)/(G42-G43)*(G24-G43),H42),"Mindestanforderung nicht erfüllt")),"")</f>
        <v/>
      </c>
      <c r="H29" s="162"/>
      <c r="K29" s="3" t="s">
        <v>321</v>
      </c>
      <c r="L29" s="165" t="str">
        <f>IF(ISNUMBER(L24),IF(L24&lt;=L43,M43,IF(AND(L24&lt;=L42,L24&gt;L43),ROUND(M43+(M42-M43)/(L42-L43)*(L24-L43),M42),"Mindestanforderung nicht erfüllt")),"")</f>
        <v/>
      </c>
      <c r="M29" s="162"/>
    </row>
    <row r="31" spans="1:14">
      <c r="B31" s="434"/>
    </row>
    <row r="32" spans="1:14" ht="15" thickBot="1"/>
    <row r="33" spans="6:13">
      <c r="F33" s="404"/>
      <c r="G33" s="405" t="s">
        <v>423</v>
      </c>
      <c r="H33" s="406" t="s">
        <v>6</v>
      </c>
      <c r="K33" s="404"/>
      <c r="L33" s="405" t="s">
        <v>423</v>
      </c>
      <c r="M33" s="406" t="s">
        <v>6</v>
      </c>
    </row>
    <row r="34" spans="6:13" ht="15.75">
      <c r="F34" s="407" t="s">
        <v>426</v>
      </c>
      <c r="G34" s="411">
        <v>52</v>
      </c>
      <c r="H34" s="408">
        <v>0</v>
      </c>
      <c r="K34" s="407" t="s">
        <v>426</v>
      </c>
      <c r="L34" s="411">
        <v>62</v>
      </c>
      <c r="M34" s="408">
        <v>0</v>
      </c>
    </row>
    <row r="35" spans="6:13" ht="15.75">
      <c r="F35" s="407" t="s">
        <v>427</v>
      </c>
      <c r="G35" s="411">
        <v>10</v>
      </c>
      <c r="H35" s="408">
        <v>25</v>
      </c>
      <c r="K35" s="407" t="s">
        <v>427</v>
      </c>
      <c r="L35" s="411">
        <v>22</v>
      </c>
      <c r="M35" s="408">
        <v>25</v>
      </c>
    </row>
    <row r="36" spans="6:13" ht="15.75">
      <c r="F36" s="407" t="s">
        <v>436</v>
      </c>
      <c r="G36" s="411">
        <v>25</v>
      </c>
      <c r="H36" s="408">
        <v>0</v>
      </c>
      <c r="K36" s="407" t="s">
        <v>436</v>
      </c>
      <c r="L36" s="411">
        <v>30</v>
      </c>
      <c r="M36" s="408">
        <v>0</v>
      </c>
    </row>
    <row r="37" spans="6:13" ht="15.75">
      <c r="F37" s="407" t="s">
        <v>437</v>
      </c>
      <c r="G37" s="411">
        <v>15</v>
      </c>
      <c r="H37" s="408">
        <v>40</v>
      </c>
      <c r="K37" s="407" t="s">
        <v>437</v>
      </c>
      <c r="L37" s="411">
        <v>17</v>
      </c>
      <c r="M37" s="408">
        <v>40</v>
      </c>
    </row>
    <row r="38" spans="6:13" ht="15.75">
      <c r="F38" s="407" t="s">
        <v>428</v>
      </c>
      <c r="G38" s="411">
        <v>30</v>
      </c>
      <c r="H38" s="408">
        <v>0</v>
      </c>
      <c r="K38" s="407" t="s">
        <v>428</v>
      </c>
      <c r="L38" s="411">
        <v>50</v>
      </c>
      <c r="M38" s="408">
        <v>0</v>
      </c>
    </row>
    <row r="39" spans="6:13" ht="15.75">
      <c r="F39" s="407" t="s">
        <v>429</v>
      </c>
      <c r="G39" s="411">
        <v>12</v>
      </c>
      <c r="H39" s="408">
        <v>30</v>
      </c>
      <c r="K39" s="407" t="s">
        <v>429</v>
      </c>
      <c r="L39" s="411">
        <v>20</v>
      </c>
      <c r="M39" s="408">
        <v>30</v>
      </c>
    </row>
    <row r="40" spans="6:13" ht="15.75">
      <c r="F40" s="407" t="s">
        <v>430</v>
      </c>
      <c r="G40" s="411">
        <v>112</v>
      </c>
      <c r="H40" s="408">
        <v>0</v>
      </c>
      <c r="K40" s="407" t="s">
        <v>430</v>
      </c>
      <c r="L40" s="411">
        <v>146</v>
      </c>
      <c r="M40" s="408">
        <v>0</v>
      </c>
    </row>
    <row r="41" spans="6:13" ht="15.75">
      <c r="F41" s="407" t="s">
        <v>431</v>
      </c>
      <c r="G41" s="411">
        <v>43</v>
      </c>
      <c r="H41" s="408">
        <v>120</v>
      </c>
      <c r="K41" s="407" t="s">
        <v>431</v>
      </c>
      <c r="L41" s="411">
        <v>43</v>
      </c>
      <c r="M41" s="408">
        <v>120</v>
      </c>
    </row>
    <row r="42" spans="6:13" ht="15.75">
      <c r="F42" s="407" t="s">
        <v>424</v>
      </c>
      <c r="G42" s="411">
        <v>18</v>
      </c>
      <c r="H42" s="408">
        <v>0</v>
      </c>
      <c r="K42" s="407" t="s">
        <v>424</v>
      </c>
      <c r="L42" s="411">
        <v>24</v>
      </c>
      <c r="M42" s="408">
        <v>0</v>
      </c>
    </row>
    <row r="43" spans="6:13" ht="16.5" thickBot="1">
      <c r="F43" s="409" t="s">
        <v>425</v>
      </c>
      <c r="G43" s="412">
        <v>0</v>
      </c>
      <c r="H43" s="410">
        <v>135</v>
      </c>
      <c r="K43" s="409" t="s">
        <v>425</v>
      </c>
      <c r="L43" s="412">
        <v>0</v>
      </c>
      <c r="M43" s="410">
        <v>135</v>
      </c>
    </row>
  </sheetData>
  <sheetProtection selectLockedCells="1"/>
  <mergeCells count="6">
    <mergeCell ref="F3:H3"/>
    <mergeCell ref="K3:M3"/>
    <mergeCell ref="F21:H21"/>
    <mergeCell ref="K21:M21"/>
    <mergeCell ref="F1:H1"/>
    <mergeCell ref="K1:M1"/>
  </mergeCells>
  <dataValidations disablePrompts="1" xWindow="566" yWindow="362" count="1">
    <dataValidation allowBlank="1" showInputMessage="1" showErrorMessage="1" prompt="Angabe entnehmen aus Ausdruck OIB- Energieausweis (Seite2)" sqref="B4:B17"/>
  </dataValidations>
  <printOptions horizontalCentered="1"/>
  <pageMargins left="0.59055118110236227" right="0.59055118110236227" top="0.59055118110236227" bottom="0.59055118110236227" header="0.31496062992125984" footer="0.31496062992125984"/>
  <pageSetup paperSize="9" scale="42" orientation="landscape" r:id="rId1"/>
  <ignoredErrors>
    <ignoredError sqref="G9 G15:G16 L9 L15:L16"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47"/>
  <sheetViews>
    <sheetView topLeftCell="A11" zoomScale="43" zoomScaleNormal="80" workbookViewId="0">
      <selection activeCell="AI48" sqref="AI48"/>
    </sheetView>
  </sheetViews>
  <sheetFormatPr baseColWidth="10" defaultColWidth="11.42578125" defaultRowHeight="14.25"/>
  <cols>
    <col min="1" max="1" width="11.42578125" style="1"/>
    <col min="2" max="34" width="11.28515625" style="1" customWidth="1"/>
    <col min="35" max="16384" width="11.42578125" style="1"/>
  </cols>
  <sheetData>
    <row r="1" spans="2:34" ht="15" thickBot="1"/>
    <row r="2" spans="2:34">
      <c r="B2" s="948" t="s">
        <v>328</v>
      </c>
      <c r="C2" s="949"/>
      <c r="D2" s="950"/>
      <c r="E2" s="950"/>
      <c r="F2" s="950"/>
      <c r="G2" s="950"/>
      <c r="H2" s="950"/>
      <c r="I2" s="950"/>
      <c r="J2" s="950"/>
      <c r="K2" s="950"/>
      <c r="L2" s="950"/>
      <c r="M2" s="950"/>
      <c r="N2" s="950"/>
      <c r="O2" s="950"/>
      <c r="P2" s="950"/>
      <c r="Q2" s="951"/>
      <c r="S2" s="955" t="s">
        <v>329</v>
      </c>
      <c r="T2" s="956"/>
      <c r="U2" s="956"/>
      <c r="V2" s="956"/>
      <c r="W2" s="956"/>
      <c r="X2" s="956"/>
      <c r="Y2" s="956"/>
      <c r="Z2" s="956"/>
      <c r="AA2" s="956"/>
      <c r="AB2" s="956"/>
      <c r="AC2" s="956"/>
      <c r="AD2" s="956"/>
      <c r="AE2" s="956"/>
      <c r="AF2" s="956"/>
      <c r="AG2" s="956"/>
      <c r="AH2" s="957"/>
    </row>
    <row r="3" spans="2:34" ht="15" thickBot="1">
      <c r="B3" s="952"/>
      <c r="C3" s="953"/>
      <c r="D3" s="953"/>
      <c r="E3" s="953"/>
      <c r="F3" s="953"/>
      <c r="G3" s="953"/>
      <c r="H3" s="953"/>
      <c r="I3" s="953"/>
      <c r="J3" s="953"/>
      <c r="K3" s="953"/>
      <c r="L3" s="953"/>
      <c r="M3" s="953"/>
      <c r="N3" s="953"/>
      <c r="O3" s="953"/>
      <c r="P3" s="953"/>
      <c r="Q3" s="954"/>
      <c r="S3" s="958"/>
      <c r="T3" s="959"/>
      <c r="U3" s="959"/>
      <c r="V3" s="959"/>
      <c r="W3" s="959"/>
      <c r="X3" s="959"/>
      <c r="Y3" s="959"/>
      <c r="Z3" s="959"/>
      <c r="AA3" s="959"/>
      <c r="AB3" s="959"/>
      <c r="AC3" s="959"/>
      <c r="AD3" s="959"/>
      <c r="AE3" s="959"/>
      <c r="AF3" s="959"/>
      <c r="AG3" s="959"/>
      <c r="AH3" s="960"/>
    </row>
    <row r="4" spans="2:34">
      <c r="B4" s="182"/>
      <c r="C4" s="182"/>
      <c r="D4" s="182"/>
      <c r="E4" s="182"/>
      <c r="F4" s="182"/>
      <c r="G4" s="182"/>
      <c r="H4" s="182"/>
      <c r="I4" s="182"/>
      <c r="J4" s="182"/>
      <c r="K4" s="182"/>
      <c r="L4" s="182"/>
      <c r="M4" s="182"/>
      <c r="N4" s="182"/>
      <c r="O4" s="182"/>
      <c r="P4" s="182"/>
      <c r="Q4" s="182"/>
      <c r="S4" s="183"/>
      <c r="T4" s="183"/>
      <c r="U4" s="183"/>
      <c r="V4" s="183"/>
      <c r="W4" s="183"/>
      <c r="X4" s="183"/>
      <c r="Y4" s="183"/>
      <c r="Z4" s="183"/>
      <c r="AA4" s="183"/>
      <c r="AB4" s="183"/>
      <c r="AC4" s="183"/>
      <c r="AD4" s="183"/>
      <c r="AE4" s="183"/>
      <c r="AF4" s="183"/>
      <c r="AG4" s="183"/>
      <c r="AH4" s="183"/>
    </row>
    <row r="5" spans="2:34">
      <c r="B5" s="182"/>
      <c r="C5" s="182"/>
      <c r="D5" s="182"/>
      <c r="E5" s="182"/>
      <c r="F5" s="182"/>
      <c r="G5" s="182"/>
      <c r="H5" s="182"/>
      <c r="I5" s="182"/>
      <c r="J5" s="182"/>
      <c r="K5" s="182"/>
      <c r="L5" s="182"/>
      <c r="M5" s="182"/>
      <c r="N5" s="182"/>
      <c r="O5" s="182"/>
      <c r="P5" s="182"/>
      <c r="Q5" s="182"/>
      <c r="S5" s="183"/>
      <c r="T5" s="183"/>
      <c r="U5" s="183"/>
      <c r="V5" s="183"/>
      <c r="W5" s="183"/>
      <c r="X5" s="183"/>
      <c r="Y5" s="183"/>
      <c r="Z5" s="183"/>
      <c r="AA5" s="183"/>
      <c r="AB5" s="183"/>
      <c r="AC5" s="183"/>
      <c r="AD5" s="183"/>
      <c r="AE5" s="183"/>
      <c r="AF5" s="183"/>
      <c r="AG5" s="183"/>
      <c r="AH5" s="183"/>
    </row>
    <row r="6" spans="2:34">
      <c r="B6" s="182"/>
      <c r="C6" s="182"/>
      <c r="D6" s="182"/>
      <c r="E6" s="182"/>
      <c r="F6" s="182"/>
      <c r="G6" s="182"/>
      <c r="H6" s="182"/>
      <c r="I6" s="182"/>
      <c r="J6" s="182"/>
      <c r="K6" s="182"/>
      <c r="L6" s="182"/>
      <c r="M6" s="182"/>
      <c r="N6" s="182"/>
      <c r="O6" s="182"/>
      <c r="P6" s="182"/>
      <c r="Q6" s="182"/>
      <c r="S6" s="183"/>
      <c r="T6" s="183"/>
      <c r="U6" s="183"/>
      <c r="V6" s="183"/>
      <c r="W6" s="183"/>
      <c r="X6" s="183"/>
      <c r="Y6" s="183"/>
      <c r="Z6" s="183"/>
      <c r="AA6" s="183"/>
      <c r="AB6" s="183"/>
      <c r="AC6" s="183"/>
      <c r="AD6" s="183"/>
      <c r="AE6" s="183"/>
      <c r="AF6" s="183"/>
      <c r="AG6" s="183"/>
      <c r="AH6" s="183"/>
    </row>
    <row r="7" spans="2:34">
      <c r="B7" s="182"/>
      <c r="C7" s="182"/>
      <c r="D7" s="182"/>
      <c r="E7" s="182"/>
      <c r="F7" s="182"/>
      <c r="G7" s="182"/>
      <c r="H7" s="182"/>
      <c r="I7" s="182"/>
      <c r="J7" s="182"/>
      <c r="K7" s="182"/>
      <c r="L7" s="182"/>
      <c r="M7" s="182"/>
      <c r="N7" s="182"/>
      <c r="O7" s="182"/>
      <c r="P7" s="182"/>
      <c r="Q7" s="182"/>
      <c r="S7" s="183"/>
      <c r="T7" s="183"/>
      <c r="U7" s="183"/>
      <c r="V7" s="183"/>
      <c r="W7" s="183"/>
      <c r="X7" s="183"/>
      <c r="Y7" s="183"/>
      <c r="Z7" s="183"/>
      <c r="AA7" s="183"/>
      <c r="AB7" s="183"/>
      <c r="AC7" s="183"/>
      <c r="AD7" s="183"/>
      <c r="AE7" s="183"/>
      <c r="AF7" s="183"/>
      <c r="AG7" s="183"/>
      <c r="AH7" s="183"/>
    </row>
    <row r="8" spans="2:34">
      <c r="B8" s="182"/>
      <c r="C8" s="182"/>
      <c r="D8" s="182"/>
      <c r="E8" s="182"/>
      <c r="F8" s="182"/>
      <c r="G8" s="182"/>
      <c r="H8" s="182"/>
      <c r="I8" s="182"/>
      <c r="J8" s="182"/>
      <c r="K8" s="182"/>
      <c r="L8" s="182"/>
      <c r="M8" s="182"/>
      <c r="N8" s="182"/>
      <c r="O8" s="182"/>
      <c r="P8" s="182"/>
      <c r="Q8" s="182"/>
      <c r="S8" s="183"/>
      <c r="T8" s="183"/>
      <c r="U8" s="183"/>
      <c r="V8" s="183"/>
      <c r="W8" s="183"/>
      <c r="X8" s="183"/>
      <c r="Y8" s="183"/>
      <c r="Z8" s="183"/>
      <c r="AA8" s="183"/>
      <c r="AB8" s="183"/>
      <c r="AC8" s="183"/>
      <c r="AD8" s="183"/>
      <c r="AE8" s="183"/>
      <c r="AF8" s="183"/>
      <c r="AG8" s="183"/>
      <c r="AH8" s="183"/>
    </row>
    <row r="9" spans="2:34">
      <c r="B9" s="182"/>
      <c r="C9" s="182"/>
      <c r="D9" s="182"/>
      <c r="E9" s="182"/>
      <c r="F9" s="182"/>
      <c r="G9" s="182"/>
      <c r="H9" s="182"/>
      <c r="I9" s="182"/>
      <c r="J9" s="182"/>
      <c r="K9" s="182"/>
      <c r="L9" s="182"/>
      <c r="M9" s="182"/>
      <c r="N9" s="182"/>
      <c r="O9" s="182"/>
      <c r="P9" s="182"/>
      <c r="Q9" s="182"/>
      <c r="S9" s="183"/>
      <c r="T9" s="183"/>
      <c r="U9" s="183"/>
      <c r="V9" s="183"/>
      <c r="W9" s="183"/>
      <c r="X9" s="183"/>
      <c r="Y9" s="183"/>
      <c r="Z9" s="183"/>
      <c r="AA9" s="183"/>
      <c r="AB9" s="183"/>
      <c r="AC9" s="183"/>
      <c r="AD9" s="183"/>
      <c r="AE9" s="183"/>
      <c r="AF9" s="183"/>
      <c r="AG9" s="183"/>
      <c r="AH9" s="183"/>
    </row>
    <row r="10" spans="2:34">
      <c r="B10" s="182"/>
      <c r="C10" s="182"/>
      <c r="D10" s="182"/>
      <c r="E10" s="182"/>
      <c r="F10" s="182"/>
      <c r="G10" s="182"/>
      <c r="H10" s="182"/>
      <c r="I10" s="182"/>
      <c r="J10" s="182"/>
      <c r="K10" s="182"/>
      <c r="L10" s="182"/>
      <c r="M10" s="182"/>
      <c r="N10" s="182"/>
      <c r="O10" s="182"/>
      <c r="P10" s="182"/>
      <c r="Q10" s="182"/>
      <c r="S10" s="183"/>
      <c r="T10" s="183"/>
      <c r="U10" s="183"/>
      <c r="V10" s="183"/>
      <c r="W10" s="183"/>
      <c r="X10" s="183"/>
      <c r="Y10" s="183"/>
      <c r="Z10" s="183"/>
      <c r="AA10" s="183"/>
      <c r="AB10" s="183"/>
      <c r="AC10" s="183"/>
      <c r="AD10" s="183"/>
      <c r="AE10" s="183"/>
      <c r="AF10" s="183"/>
      <c r="AG10" s="183"/>
      <c r="AH10" s="183"/>
    </row>
    <row r="11" spans="2:34">
      <c r="B11" s="182"/>
      <c r="C11" s="182"/>
      <c r="D11" s="182"/>
      <c r="E11" s="182"/>
      <c r="F11" s="182"/>
      <c r="G11" s="182"/>
      <c r="H11" s="182"/>
      <c r="I11" s="182"/>
      <c r="J11" s="182"/>
      <c r="K11" s="182"/>
      <c r="L11" s="182"/>
      <c r="M11" s="182"/>
      <c r="N11" s="182"/>
      <c r="O11" s="182"/>
      <c r="P11" s="182"/>
      <c r="Q11" s="182"/>
      <c r="S11" s="183"/>
      <c r="T11" s="183"/>
      <c r="U11" s="183"/>
      <c r="V11" s="183"/>
      <c r="W11" s="183"/>
      <c r="X11" s="183"/>
      <c r="Y11" s="183"/>
      <c r="Z11" s="183"/>
      <c r="AA11" s="183"/>
      <c r="AB11" s="183"/>
      <c r="AC11" s="183"/>
      <c r="AD11" s="183"/>
      <c r="AE11" s="183"/>
      <c r="AF11" s="183"/>
      <c r="AG11" s="183"/>
      <c r="AH11" s="183"/>
    </row>
    <row r="12" spans="2:34">
      <c r="B12" s="182"/>
      <c r="C12" s="182"/>
      <c r="D12" s="182"/>
      <c r="E12" s="182"/>
      <c r="F12" s="182"/>
      <c r="G12" s="182"/>
      <c r="H12" s="182"/>
      <c r="I12" s="182"/>
      <c r="J12" s="182"/>
      <c r="K12" s="182"/>
      <c r="L12" s="182"/>
      <c r="M12" s="182"/>
      <c r="N12" s="182"/>
      <c r="O12" s="182"/>
      <c r="P12" s="182"/>
      <c r="Q12" s="182"/>
      <c r="S12" s="183"/>
      <c r="T12" s="183"/>
      <c r="U12" s="183"/>
      <c r="V12" s="183"/>
      <c r="W12" s="183"/>
      <c r="X12" s="183"/>
      <c r="Y12" s="183"/>
      <c r="Z12" s="183"/>
      <c r="AA12" s="183"/>
      <c r="AB12" s="183"/>
      <c r="AC12" s="183"/>
      <c r="AD12" s="183"/>
      <c r="AE12" s="183"/>
      <c r="AF12" s="183"/>
      <c r="AG12" s="183"/>
      <c r="AH12" s="183"/>
    </row>
    <row r="13" spans="2:34">
      <c r="B13" s="182"/>
      <c r="C13" s="182"/>
      <c r="D13" s="182"/>
      <c r="E13" s="182"/>
      <c r="F13" s="182"/>
      <c r="G13" s="182"/>
      <c r="H13" s="182"/>
      <c r="I13" s="182"/>
      <c r="J13" s="182"/>
      <c r="K13" s="182"/>
      <c r="L13" s="182"/>
      <c r="M13" s="182"/>
      <c r="N13" s="182"/>
      <c r="O13" s="182"/>
      <c r="P13" s="182"/>
      <c r="Q13" s="182"/>
      <c r="S13" s="183"/>
      <c r="T13" s="183"/>
      <c r="U13" s="183"/>
      <c r="V13" s="183"/>
      <c r="W13" s="183"/>
      <c r="X13" s="183"/>
      <c r="Y13" s="183"/>
      <c r="Z13" s="183"/>
      <c r="AA13" s="183"/>
      <c r="AB13" s="183"/>
      <c r="AC13" s="183"/>
      <c r="AD13" s="183"/>
      <c r="AE13" s="183"/>
      <c r="AF13" s="183"/>
      <c r="AG13" s="183"/>
      <c r="AH13" s="183"/>
    </row>
    <row r="14" spans="2:34">
      <c r="B14" s="182"/>
      <c r="C14" s="182"/>
      <c r="D14" s="182"/>
      <c r="E14" s="182"/>
      <c r="F14" s="182"/>
      <c r="G14" s="182"/>
      <c r="H14" s="182"/>
      <c r="I14" s="182"/>
      <c r="J14" s="182"/>
      <c r="K14" s="182"/>
      <c r="L14" s="182"/>
      <c r="M14" s="182"/>
      <c r="N14" s="182"/>
      <c r="O14" s="182"/>
      <c r="P14" s="182"/>
      <c r="Q14" s="182"/>
      <c r="S14" s="183"/>
      <c r="T14" s="183"/>
      <c r="U14" s="183"/>
      <c r="V14" s="183"/>
      <c r="W14" s="183"/>
      <c r="X14" s="183"/>
      <c r="Y14" s="183"/>
      <c r="Z14" s="183"/>
      <c r="AA14" s="183"/>
      <c r="AB14" s="183"/>
      <c r="AC14" s="183"/>
      <c r="AD14" s="183"/>
      <c r="AE14" s="183"/>
      <c r="AF14" s="183"/>
      <c r="AG14" s="183"/>
      <c r="AH14" s="183"/>
    </row>
    <row r="15" spans="2:34">
      <c r="B15" s="182"/>
      <c r="C15" s="182"/>
      <c r="D15" s="182"/>
      <c r="E15" s="182"/>
      <c r="F15" s="182"/>
      <c r="G15" s="182"/>
      <c r="H15" s="182"/>
      <c r="I15" s="182"/>
      <c r="J15" s="182"/>
      <c r="K15" s="182"/>
      <c r="L15" s="182"/>
      <c r="M15" s="182"/>
      <c r="N15" s="182"/>
      <c r="O15" s="182"/>
      <c r="P15" s="182"/>
      <c r="Q15" s="182"/>
      <c r="S15" s="183"/>
      <c r="T15" s="183"/>
      <c r="U15" s="183"/>
      <c r="V15" s="183"/>
      <c r="W15" s="183"/>
      <c r="X15" s="183"/>
      <c r="Y15" s="183"/>
      <c r="Z15" s="183"/>
      <c r="AA15" s="183"/>
      <c r="AB15" s="183"/>
      <c r="AC15" s="183"/>
      <c r="AD15" s="183"/>
      <c r="AE15" s="183"/>
      <c r="AF15" s="183"/>
      <c r="AG15" s="183"/>
      <c r="AH15" s="183"/>
    </row>
    <row r="16" spans="2:34">
      <c r="B16" s="182"/>
      <c r="C16" s="182"/>
      <c r="D16" s="182"/>
      <c r="E16" s="182"/>
      <c r="F16" s="182"/>
      <c r="G16" s="182"/>
      <c r="H16" s="182"/>
      <c r="I16" s="182"/>
      <c r="J16" s="182"/>
      <c r="K16" s="182"/>
      <c r="L16" s="182"/>
      <c r="M16" s="182"/>
      <c r="N16" s="182"/>
      <c r="O16" s="182"/>
      <c r="P16" s="182"/>
      <c r="Q16" s="182"/>
      <c r="S16" s="183"/>
      <c r="T16" s="183"/>
      <c r="U16" s="183"/>
      <c r="V16" s="183"/>
      <c r="W16" s="183"/>
      <c r="X16" s="183"/>
      <c r="Y16" s="183"/>
      <c r="Z16" s="183"/>
      <c r="AA16" s="183"/>
      <c r="AB16" s="183"/>
      <c r="AC16" s="183"/>
      <c r="AD16" s="183"/>
      <c r="AE16" s="183"/>
      <c r="AF16" s="183"/>
      <c r="AG16" s="183"/>
      <c r="AH16" s="183"/>
    </row>
    <row r="17" spans="2:34">
      <c r="B17" s="182"/>
      <c r="C17" s="182"/>
      <c r="D17" s="182"/>
      <c r="E17" s="182"/>
      <c r="F17" s="182"/>
      <c r="G17" s="182"/>
      <c r="H17" s="182"/>
      <c r="I17" s="182"/>
      <c r="J17" s="182"/>
      <c r="K17" s="182"/>
      <c r="L17" s="182"/>
      <c r="M17" s="182"/>
      <c r="N17" s="182"/>
      <c r="O17" s="182"/>
      <c r="P17" s="182"/>
      <c r="Q17" s="182"/>
      <c r="S17" s="183"/>
      <c r="T17" s="183"/>
      <c r="U17" s="183"/>
      <c r="V17" s="183"/>
      <c r="W17" s="183"/>
      <c r="X17" s="183"/>
      <c r="Y17" s="183"/>
      <c r="Z17" s="183"/>
      <c r="AA17" s="183"/>
      <c r="AB17" s="183"/>
      <c r="AC17" s="183"/>
      <c r="AD17" s="183"/>
      <c r="AE17" s="183"/>
      <c r="AF17" s="183"/>
      <c r="AG17" s="183"/>
      <c r="AH17" s="183"/>
    </row>
    <row r="18" spans="2:34">
      <c r="B18" s="182"/>
      <c r="C18" s="182"/>
      <c r="D18" s="182"/>
      <c r="E18" s="182"/>
      <c r="F18" s="182"/>
      <c r="G18" s="182"/>
      <c r="H18" s="182"/>
      <c r="I18" s="182"/>
      <c r="J18" s="182"/>
      <c r="K18" s="182"/>
      <c r="L18" s="182"/>
      <c r="M18" s="182"/>
      <c r="N18" s="182"/>
      <c r="O18" s="182"/>
      <c r="P18" s="182"/>
      <c r="Q18" s="182"/>
      <c r="S18" s="183"/>
      <c r="T18" s="183"/>
      <c r="U18" s="183"/>
      <c r="V18" s="183"/>
      <c r="W18" s="183"/>
      <c r="X18" s="183"/>
      <c r="Y18" s="183"/>
      <c r="Z18" s="183"/>
      <c r="AA18" s="183"/>
      <c r="AB18" s="183"/>
      <c r="AC18" s="183"/>
      <c r="AD18" s="183"/>
      <c r="AE18" s="183"/>
      <c r="AF18" s="183"/>
      <c r="AG18" s="183"/>
      <c r="AH18" s="183"/>
    </row>
    <row r="19" spans="2:34">
      <c r="B19" s="182"/>
      <c r="C19" s="182"/>
      <c r="D19" s="182"/>
      <c r="E19" s="182"/>
      <c r="F19" s="182"/>
      <c r="G19" s="182"/>
      <c r="H19" s="182"/>
      <c r="I19" s="182"/>
      <c r="J19" s="182"/>
      <c r="K19" s="182"/>
      <c r="L19" s="182"/>
      <c r="M19" s="182"/>
      <c r="N19" s="182"/>
      <c r="O19" s="182"/>
      <c r="P19" s="182"/>
      <c r="Q19" s="182"/>
      <c r="S19" s="183"/>
      <c r="T19" s="183"/>
      <c r="U19" s="183"/>
      <c r="V19" s="183"/>
      <c r="W19" s="183"/>
      <c r="X19" s="183"/>
      <c r="Y19" s="183"/>
      <c r="Z19" s="183"/>
      <c r="AA19" s="183"/>
      <c r="AB19" s="183"/>
      <c r="AC19" s="183"/>
      <c r="AD19" s="183"/>
      <c r="AE19" s="183"/>
      <c r="AF19" s="183"/>
      <c r="AG19" s="183"/>
      <c r="AH19" s="183"/>
    </row>
    <row r="20" spans="2:34">
      <c r="B20" s="182"/>
      <c r="C20" s="182"/>
      <c r="D20" s="182"/>
      <c r="E20" s="182"/>
      <c r="F20" s="182"/>
      <c r="G20" s="182"/>
      <c r="H20" s="182"/>
      <c r="I20" s="182"/>
      <c r="J20" s="182"/>
      <c r="K20" s="182"/>
      <c r="L20" s="182"/>
      <c r="M20" s="182"/>
      <c r="N20" s="182"/>
      <c r="O20" s="182"/>
      <c r="P20" s="182"/>
      <c r="Q20" s="182"/>
      <c r="S20" s="183"/>
      <c r="T20" s="183"/>
      <c r="U20" s="183"/>
      <c r="V20" s="183"/>
      <c r="W20" s="183"/>
      <c r="X20" s="183"/>
      <c r="Y20" s="183"/>
      <c r="Z20" s="183"/>
      <c r="AA20" s="183"/>
      <c r="AB20" s="183"/>
      <c r="AC20" s="183"/>
      <c r="AD20" s="183"/>
      <c r="AE20" s="183"/>
      <c r="AF20" s="183"/>
      <c r="AG20" s="183"/>
      <c r="AH20" s="183"/>
    </row>
    <row r="21" spans="2:34">
      <c r="B21" s="182"/>
      <c r="C21" s="182"/>
      <c r="D21" s="182"/>
      <c r="E21" s="182"/>
      <c r="F21" s="182"/>
      <c r="G21" s="182"/>
      <c r="H21" s="182"/>
      <c r="I21" s="182"/>
      <c r="J21" s="182"/>
      <c r="K21" s="182"/>
      <c r="L21" s="182"/>
      <c r="M21" s="182"/>
      <c r="N21" s="182"/>
      <c r="O21" s="182"/>
      <c r="P21" s="182"/>
      <c r="Q21" s="182"/>
      <c r="S21" s="183"/>
      <c r="T21" s="183"/>
      <c r="U21" s="183"/>
      <c r="V21" s="183"/>
      <c r="W21" s="183"/>
      <c r="X21" s="183"/>
      <c r="Y21" s="183"/>
      <c r="Z21" s="183"/>
      <c r="AA21" s="183"/>
      <c r="AB21" s="183"/>
      <c r="AC21" s="183"/>
      <c r="AD21" s="183"/>
      <c r="AE21" s="183"/>
      <c r="AF21" s="183"/>
      <c r="AG21" s="183"/>
      <c r="AH21" s="183"/>
    </row>
    <row r="22" spans="2:34">
      <c r="B22" s="182"/>
      <c r="C22" s="182"/>
      <c r="D22" s="182"/>
      <c r="E22" s="182"/>
      <c r="F22" s="182"/>
      <c r="G22" s="182"/>
      <c r="H22" s="182"/>
      <c r="I22" s="182"/>
      <c r="J22" s="182"/>
      <c r="K22" s="182"/>
      <c r="L22" s="182"/>
      <c r="M22" s="182"/>
      <c r="N22" s="182"/>
      <c r="O22" s="182"/>
      <c r="P22" s="182"/>
      <c r="Q22" s="182"/>
      <c r="S22" s="183"/>
      <c r="T22" s="183"/>
      <c r="U22" s="183"/>
      <c r="V22" s="183"/>
      <c r="W22" s="183"/>
      <c r="X22" s="183"/>
      <c r="Y22" s="183"/>
      <c r="Z22" s="183"/>
      <c r="AA22" s="183"/>
      <c r="AB22" s="183"/>
      <c r="AC22" s="183"/>
      <c r="AD22" s="183"/>
      <c r="AE22" s="183"/>
      <c r="AF22" s="183"/>
      <c r="AG22" s="183"/>
      <c r="AH22" s="183"/>
    </row>
    <row r="23" spans="2:34">
      <c r="B23" s="182"/>
      <c r="C23" s="182"/>
      <c r="D23" s="182"/>
      <c r="E23" s="182"/>
      <c r="F23" s="182"/>
      <c r="G23" s="182"/>
      <c r="H23" s="182"/>
      <c r="I23" s="182"/>
      <c r="J23" s="182"/>
      <c r="K23" s="182"/>
      <c r="L23" s="182"/>
      <c r="M23" s="182"/>
      <c r="N23" s="182"/>
      <c r="O23" s="182"/>
      <c r="P23" s="182"/>
      <c r="Q23" s="182"/>
      <c r="S23" s="183"/>
      <c r="T23" s="183"/>
      <c r="U23" s="183"/>
      <c r="V23" s="183"/>
      <c r="W23" s="183"/>
      <c r="X23" s="183"/>
      <c r="Y23" s="183"/>
      <c r="Z23" s="183"/>
      <c r="AA23" s="183"/>
      <c r="AB23" s="183"/>
      <c r="AC23" s="183"/>
      <c r="AD23" s="183"/>
      <c r="AE23" s="183"/>
      <c r="AF23" s="183"/>
      <c r="AG23" s="183"/>
      <c r="AH23" s="183"/>
    </row>
    <row r="24" spans="2:34">
      <c r="B24" s="182"/>
      <c r="C24" s="182"/>
      <c r="D24" s="182"/>
      <c r="E24" s="182"/>
      <c r="F24" s="182"/>
      <c r="G24" s="182"/>
      <c r="H24" s="182"/>
      <c r="I24" s="182"/>
      <c r="J24" s="182"/>
      <c r="K24" s="182"/>
      <c r="L24" s="182"/>
      <c r="M24" s="182"/>
      <c r="N24" s="182"/>
      <c r="O24" s="182"/>
      <c r="P24" s="182"/>
      <c r="Q24" s="182"/>
      <c r="S24" s="183"/>
      <c r="T24" s="183"/>
      <c r="U24" s="183"/>
      <c r="V24" s="183"/>
      <c r="W24" s="183"/>
      <c r="X24" s="183"/>
      <c r="Y24" s="183"/>
      <c r="Z24" s="183"/>
      <c r="AA24" s="183"/>
      <c r="AB24" s="183"/>
      <c r="AC24" s="183"/>
      <c r="AD24" s="183"/>
      <c r="AE24" s="183"/>
      <c r="AF24" s="183"/>
      <c r="AG24" s="183"/>
      <c r="AH24" s="183"/>
    </row>
    <row r="25" spans="2:34">
      <c r="B25" s="182"/>
      <c r="C25" s="182"/>
      <c r="D25" s="182"/>
      <c r="E25" s="182"/>
      <c r="F25" s="182"/>
      <c r="G25" s="182"/>
      <c r="H25" s="182"/>
      <c r="I25" s="182"/>
      <c r="J25" s="182"/>
      <c r="K25" s="182"/>
      <c r="L25" s="182"/>
      <c r="M25" s="182"/>
      <c r="N25" s="182"/>
      <c r="O25" s="182"/>
      <c r="P25" s="182"/>
      <c r="Q25" s="182"/>
      <c r="S25" s="183"/>
      <c r="T25" s="183"/>
      <c r="U25" s="183"/>
      <c r="V25" s="183"/>
      <c r="W25" s="183"/>
      <c r="X25" s="183"/>
      <c r="Y25" s="183"/>
      <c r="Z25" s="183"/>
      <c r="AA25" s="183"/>
      <c r="AB25" s="183"/>
      <c r="AC25" s="183"/>
      <c r="AD25" s="183"/>
      <c r="AE25" s="183"/>
      <c r="AF25" s="183"/>
      <c r="AG25" s="183"/>
      <c r="AH25" s="183"/>
    </row>
    <row r="26" spans="2:34">
      <c r="B26" s="182"/>
      <c r="C26" s="182"/>
      <c r="D26" s="182"/>
      <c r="E26" s="182"/>
      <c r="F26" s="182"/>
      <c r="G26" s="182"/>
      <c r="H26" s="182"/>
      <c r="I26" s="182"/>
      <c r="J26" s="182"/>
      <c r="K26" s="182"/>
      <c r="L26" s="182"/>
      <c r="M26" s="182"/>
      <c r="N26" s="182"/>
      <c r="O26" s="182"/>
      <c r="P26" s="182"/>
      <c r="Q26" s="182"/>
      <c r="S26" s="183"/>
      <c r="T26" s="183"/>
      <c r="U26" s="183"/>
      <c r="V26" s="183"/>
      <c r="W26" s="183"/>
      <c r="X26" s="183"/>
      <c r="Y26" s="183"/>
      <c r="Z26" s="183"/>
      <c r="AA26" s="183"/>
      <c r="AB26" s="183"/>
      <c r="AC26" s="183"/>
      <c r="AD26" s="183"/>
      <c r="AE26" s="183"/>
      <c r="AF26" s="183"/>
      <c r="AG26" s="183"/>
      <c r="AH26" s="183"/>
    </row>
    <row r="27" spans="2:34">
      <c r="B27" s="182"/>
      <c r="C27" s="182"/>
      <c r="D27" s="182"/>
      <c r="E27" s="182"/>
      <c r="F27" s="182"/>
      <c r="G27" s="182"/>
      <c r="H27" s="182"/>
      <c r="I27" s="182"/>
      <c r="J27" s="182"/>
      <c r="K27" s="182"/>
      <c r="L27" s="182"/>
      <c r="M27" s="182"/>
      <c r="N27" s="182"/>
      <c r="O27" s="182"/>
      <c r="P27" s="182"/>
      <c r="Q27" s="182"/>
      <c r="S27" s="183"/>
      <c r="T27" s="183"/>
      <c r="U27" s="183"/>
      <c r="V27" s="183"/>
      <c r="W27" s="183"/>
      <c r="X27" s="183"/>
      <c r="Y27" s="183"/>
      <c r="Z27" s="183"/>
      <c r="AA27" s="183"/>
      <c r="AB27" s="183"/>
      <c r="AC27" s="183"/>
      <c r="AD27" s="183"/>
      <c r="AE27" s="183"/>
      <c r="AF27" s="183"/>
      <c r="AG27" s="183"/>
      <c r="AH27" s="183"/>
    </row>
    <row r="28" spans="2:34">
      <c r="B28" s="182"/>
      <c r="C28" s="182"/>
      <c r="D28" s="182"/>
      <c r="E28" s="182"/>
      <c r="F28" s="182"/>
      <c r="G28" s="182"/>
      <c r="H28" s="182"/>
      <c r="I28" s="182"/>
      <c r="J28" s="182"/>
      <c r="K28" s="182"/>
      <c r="L28" s="182"/>
      <c r="M28" s="182"/>
      <c r="N28" s="182"/>
      <c r="O28" s="182"/>
      <c r="P28" s="182"/>
      <c r="Q28" s="182"/>
      <c r="S28" s="183"/>
      <c r="T28" s="183"/>
      <c r="U28" s="183"/>
      <c r="V28" s="183"/>
      <c r="W28" s="183"/>
      <c r="X28" s="183"/>
      <c r="Y28" s="183"/>
      <c r="Z28" s="183"/>
      <c r="AA28" s="183"/>
      <c r="AB28" s="183"/>
      <c r="AC28" s="183"/>
      <c r="AD28" s="183"/>
      <c r="AE28" s="183"/>
      <c r="AF28" s="183"/>
      <c r="AG28" s="183"/>
      <c r="AH28" s="183"/>
    </row>
    <row r="29" spans="2:34">
      <c r="B29" s="182"/>
      <c r="C29" s="182"/>
      <c r="D29" s="182"/>
      <c r="E29" s="182"/>
      <c r="F29" s="182"/>
      <c r="G29" s="182"/>
      <c r="H29" s="182"/>
      <c r="I29" s="182"/>
      <c r="J29" s="182"/>
      <c r="K29" s="182"/>
      <c r="L29" s="182"/>
      <c r="M29" s="182"/>
      <c r="N29" s="182"/>
      <c r="O29" s="182"/>
      <c r="P29" s="182"/>
      <c r="Q29" s="182"/>
      <c r="S29" s="183"/>
      <c r="T29" s="183"/>
      <c r="U29" s="183"/>
      <c r="V29" s="183"/>
      <c r="W29" s="183"/>
      <c r="X29" s="183"/>
      <c r="Y29" s="183"/>
      <c r="Z29" s="183"/>
      <c r="AA29" s="183"/>
      <c r="AB29" s="183"/>
      <c r="AC29" s="183"/>
      <c r="AD29" s="183"/>
      <c r="AE29" s="183"/>
      <c r="AF29" s="183"/>
      <c r="AG29" s="183"/>
      <c r="AH29" s="183"/>
    </row>
    <row r="30" spans="2:34">
      <c r="B30" s="182"/>
      <c r="C30" s="182"/>
      <c r="D30" s="182"/>
      <c r="E30" s="182"/>
      <c r="F30" s="182"/>
      <c r="G30" s="182"/>
      <c r="H30" s="182"/>
      <c r="I30" s="182"/>
      <c r="J30" s="182"/>
      <c r="K30" s="182"/>
      <c r="L30" s="182"/>
      <c r="M30" s="182"/>
      <c r="N30" s="182"/>
      <c r="O30" s="182"/>
      <c r="P30" s="182"/>
      <c r="Q30" s="182"/>
      <c r="S30" s="183"/>
      <c r="T30" s="183"/>
      <c r="U30" s="183"/>
      <c r="V30" s="183"/>
      <c r="W30" s="183"/>
      <c r="X30" s="183"/>
      <c r="Y30" s="183"/>
      <c r="Z30" s="183"/>
      <c r="AA30" s="183"/>
      <c r="AB30" s="183"/>
      <c r="AC30" s="183"/>
      <c r="AD30" s="183"/>
      <c r="AE30" s="183"/>
      <c r="AF30" s="183"/>
      <c r="AG30" s="183"/>
      <c r="AH30" s="183"/>
    </row>
    <row r="31" spans="2:34">
      <c r="B31" s="182"/>
      <c r="C31" s="182"/>
      <c r="D31" s="182"/>
      <c r="E31" s="182"/>
      <c r="F31" s="182"/>
      <c r="G31" s="182"/>
      <c r="H31" s="182"/>
      <c r="I31" s="182"/>
      <c r="J31" s="182"/>
      <c r="K31" s="182"/>
      <c r="L31" s="182"/>
      <c r="M31" s="182"/>
      <c r="N31" s="182"/>
      <c r="O31" s="182"/>
      <c r="P31" s="182"/>
      <c r="Q31" s="182"/>
      <c r="S31" s="183"/>
      <c r="T31" s="183"/>
      <c r="U31" s="183"/>
      <c r="V31" s="183"/>
      <c r="W31" s="183"/>
      <c r="X31" s="183"/>
      <c r="Y31" s="183"/>
      <c r="Z31" s="183"/>
      <c r="AA31" s="183"/>
      <c r="AB31" s="183"/>
      <c r="AC31" s="183"/>
      <c r="AD31" s="183"/>
      <c r="AE31" s="183"/>
      <c r="AF31" s="183"/>
      <c r="AG31" s="183"/>
      <c r="AH31" s="183"/>
    </row>
    <row r="32" spans="2:34">
      <c r="B32" s="182"/>
      <c r="C32" s="182"/>
      <c r="D32" s="182"/>
      <c r="E32" s="182"/>
      <c r="F32" s="182"/>
      <c r="G32" s="182"/>
      <c r="H32" s="182"/>
      <c r="I32" s="182"/>
      <c r="J32" s="182"/>
      <c r="K32" s="182"/>
      <c r="L32" s="182"/>
      <c r="M32" s="182"/>
      <c r="N32" s="182"/>
      <c r="O32" s="182"/>
      <c r="P32" s="182"/>
      <c r="Q32" s="182"/>
      <c r="S32" s="183"/>
      <c r="T32" s="183"/>
      <c r="U32" s="183"/>
      <c r="V32" s="183"/>
      <c r="W32" s="183"/>
      <c r="X32" s="183"/>
      <c r="Y32" s="183"/>
      <c r="Z32" s="183"/>
      <c r="AA32" s="183"/>
      <c r="AB32" s="183"/>
      <c r="AC32" s="183"/>
      <c r="AD32" s="183"/>
      <c r="AE32" s="183"/>
      <c r="AF32" s="183"/>
      <c r="AG32" s="183"/>
      <c r="AH32" s="183"/>
    </row>
    <row r="33" spans="2:34">
      <c r="B33" s="182"/>
      <c r="C33" s="182"/>
      <c r="D33" s="182"/>
      <c r="E33" s="182"/>
      <c r="F33" s="182"/>
      <c r="G33" s="182"/>
      <c r="H33" s="182"/>
      <c r="I33" s="182"/>
      <c r="J33" s="182"/>
      <c r="K33" s="182"/>
      <c r="L33" s="182"/>
      <c r="M33" s="182"/>
      <c r="N33" s="182"/>
      <c r="O33" s="182"/>
      <c r="P33" s="182"/>
      <c r="Q33" s="182"/>
      <c r="S33" s="183"/>
      <c r="T33" s="183"/>
      <c r="U33" s="183"/>
      <c r="V33" s="183"/>
      <c r="W33" s="183"/>
      <c r="X33" s="183"/>
      <c r="Y33" s="183"/>
      <c r="Z33" s="183"/>
      <c r="AA33" s="183"/>
      <c r="AB33" s="183"/>
      <c r="AC33" s="183"/>
      <c r="AD33" s="183"/>
      <c r="AE33" s="183"/>
      <c r="AF33" s="183"/>
      <c r="AG33" s="183"/>
      <c r="AH33" s="183"/>
    </row>
    <row r="34" spans="2:34">
      <c r="B34" s="182"/>
      <c r="C34" s="182"/>
      <c r="D34" s="182"/>
      <c r="E34" s="182"/>
      <c r="F34" s="182"/>
      <c r="G34" s="182"/>
      <c r="H34" s="182"/>
      <c r="I34" s="182"/>
      <c r="J34" s="182"/>
      <c r="K34" s="182"/>
      <c r="L34" s="182"/>
      <c r="M34" s="182"/>
      <c r="N34" s="182"/>
      <c r="O34" s="182"/>
      <c r="P34" s="182"/>
      <c r="Q34" s="182"/>
      <c r="S34" s="183"/>
      <c r="T34" s="183"/>
      <c r="U34" s="183"/>
      <c r="V34" s="183"/>
      <c r="W34" s="183"/>
      <c r="X34" s="183"/>
      <c r="Y34" s="183"/>
      <c r="Z34" s="183"/>
      <c r="AA34" s="183"/>
      <c r="AB34" s="183"/>
      <c r="AC34" s="183"/>
      <c r="AD34" s="183"/>
      <c r="AE34" s="183"/>
      <c r="AF34" s="183"/>
      <c r="AG34" s="183"/>
      <c r="AH34" s="183"/>
    </row>
    <row r="35" spans="2:34">
      <c r="B35" s="182"/>
      <c r="C35" s="182"/>
      <c r="D35" s="182"/>
      <c r="E35" s="182"/>
      <c r="F35" s="182"/>
      <c r="G35" s="182"/>
      <c r="H35" s="182"/>
      <c r="I35" s="182"/>
      <c r="J35" s="182"/>
      <c r="K35" s="182"/>
      <c r="L35" s="182"/>
      <c r="M35" s="182"/>
      <c r="N35" s="182"/>
      <c r="O35" s="182"/>
      <c r="P35" s="182"/>
      <c r="Q35" s="182"/>
      <c r="S35" s="183"/>
      <c r="T35" s="183"/>
      <c r="U35" s="183"/>
      <c r="V35" s="183"/>
      <c r="W35" s="183"/>
      <c r="X35" s="183"/>
      <c r="Y35" s="183"/>
      <c r="Z35" s="183"/>
      <c r="AA35" s="183"/>
      <c r="AB35" s="183"/>
      <c r="AC35" s="183"/>
      <c r="AD35" s="183"/>
      <c r="AE35" s="183"/>
      <c r="AF35" s="183"/>
      <c r="AG35" s="183"/>
      <c r="AH35" s="183"/>
    </row>
    <row r="36" spans="2:34">
      <c r="B36" s="182"/>
      <c r="C36" s="182"/>
      <c r="D36" s="182"/>
      <c r="E36" s="182"/>
      <c r="F36" s="182"/>
      <c r="G36" s="182"/>
      <c r="H36" s="182"/>
      <c r="I36" s="182"/>
      <c r="J36" s="182"/>
      <c r="K36" s="182"/>
      <c r="L36" s="182"/>
      <c r="M36" s="182"/>
      <c r="N36" s="182"/>
      <c r="O36" s="182"/>
      <c r="P36" s="182"/>
      <c r="Q36" s="182"/>
      <c r="S36" s="183"/>
      <c r="T36" s="183"/>
      <c r="U36" s="183"/>
      <c r="V36" s="183"/>
      <c r="W36" s="183"/>
      <c r="X36" s="183"/>
      <c r="Y36" s="183"/>
      <c r="Z36" s="183"/>
      <c r="AA36" s="183"/>
      <c r="AB36" s="183"/>
      <c r="AC36" s="183"/>
      <c r="AD36" s="183"/>
      <c r="AE36" s="183"/>
      <c r="AF36" s="183"/>
      <c r="AG36" s="183"/>
      <c r="AH36" s="183"/>
    </row>
    <row r="37" spans="2:34">
      <c r="B37" s="182"/>
      <c r="C37" s="182"/>
      <c r="D37" s="182"/>
      <c r="E37" s="182"/>
      <c r="F37" s="182"/>
      <c r="G37" s="182"/>
      <c r="H37" s="182"/>
      <c r="I37" s="182"/>
      <c r="J37" s="182"/>
      <c r="K37" s="182"/>
      <c r="L37" s="182"/>
      <c r="M37" s="182"/>
      <c r="N37" s="182"/>
      <c r="O37" s="182"/>
      <c r="P37" s="182"/>
      <c r="Q37" s="182"/>
      <c r="S37" s="183"/>
      <c r="T37" s="183"/>
      <c r="U37" s="183"/>
      <c r="V37" s="183"/>
      <c r="W37" s="183"/>
      <c r="X37" s="183"/>
      <c r="Y37" s="183"/>
      <c r="Z37" s="183"/>
      <c r="AA37" s="183"/>
      <c r="AB37" s="183"/>
      <c r="AC37" s="183"/>
      <c r="AD37" s="183"/>
      <c r="AE37" s="183"/>
      <c r="AF37" s="183"/>
      <c r="AG37" s="183"/>
      <c r="AH37" s="183"/>
    </row>
    <row r="38" spans="2:34">
      <c r="B38" s="182"/>
      <c r="C38" s="182"/>
      <c r="D38" s="182"/>
      <c r="E38" s="182"/>
      <c r="F38" s="182"/>
      <c r="G38" s="182"/>
      <c r="H38" s="182"/>
      <c r="I38" s="182"/>
      <c r="J38" s="182"/>
      <c r="K38" s="182"/>
      <c r="L38" s="182"/>
      <c r="M38" s="182"/>
      <c r="N38" s="182"/>
      <c r="O38" s="182"/>
      <c r="P38" s="182"/>
      <c r="Q38" s="182"/>
      <c r="S38" s="183"/>
      <c r="T38" s="183"/>
      <c r="U38" s="183"/>
      <c r="V38" s="183"/>
      <c r="W38" s="183"/>
      <c r="X38" s="183"/>
      <c r="Y38" s="183"/>
      <c r="Z38" s="183"/>
      <c r="AA38" s="183"/>
      <c r="AB38" s="183"/>
      <c r="AC38" s="183"/>
      <c r="AD38" s="183"/>
      <c r="AE38" s="183"/>
      <c r="AF38" s="183"/>
      <c r="AG38" s="183"/>
      <c r="AH38" s="183"/>
    </row>
    <row r="39" spans="2:34">
      <c r="B39" s="182"/>
      <c r="C39" s="182"/>
      <c r="D39" s="182"/>
      <c r="E39" s="182"/>
      <c r="F39" s="182"/>
      <c r="G39" s="182"/>
      <c r="H39" s="182"/>
      <c r="I39" s="182"/>
      <c r="J39" s="182"/>
      <c r="K39" s="182"/>
      <c r="L39" s="182"/>
      <c r="M39" s="182"/>
      <c r="N39" s="182"/>
      <c r="O39" s="182"/>
      <c r="P39" s="182"/>
      <c r="Q39" s="182"/>
      <c r="S39" s="183"/>
      <c r="T39" s="183"/>
      <c r="U39" s="183"/>
      <c r="V39" s="183"/>
      <c r="W39" s="183"/>
      <c r="X39" s="183"/>
      <c r="Y39" s="183"/>
      <c r="Z39" s="183"/>
      <c r="AA39" s="183"/>
      <c r="AB39" s="183"/>
      <c r="AC39" s="183"/>
      <c r="AD39" s="183"/>
      <c r="AE39" s="183"/>
      <c r="AF39" s="183"/>
      <c r="AG39" s="183"/>
      <c r="AH39" s="183"/>
    </row>
    <row r="40" spans="2:34">
      <c r="B40" s="182"/>
      <c r="C40" s="182"/>
      <c r="D40" s="182"/>
      <c r="E40" s="182"/>
      <c r="F40" s="182"/>
      <c r="G40" s="182"/>
      <c r="H40" s="182"/>
      <c r="I40" s="182"/>
      <c r="J40" s="182"/>
      <c r="K40" s="182"/>
      <c r="L40" s="182"/>
      <c r="M40" s="182"/>
      <c r="N40" s="182"/>
      <c r="O40" s="182"/>
      <c r="P40" s="182"/>
      <c r="Q40" s="182"/>
      <c r="S40" s="183"/>
      <c r="T40" s="183"/>
      <c r="U40" s="183"/>
      <c r="V40" s="183"/>
      <c r="W40" s="183"/>
      <c r="X40" s="183"/>
      <c r="Y40" s="183"/>
      <c r="Z40" s="183"/>
      <c r="AA40" s="183"/>
      <c r="AB40" s="183"/>
      <c r="AC40" s="183"/>
      <c r="AD40" s="183"/>
      <c r="AE40" s="183"/>
      <c r="AF40" s="183"/>
      <c r="AG40" s="183"/>
      <c r="AH40" s="183"/>
    </row>
    <row r="41" spans="2:34">
      <c r="B41" s="182"/>
      <c r="C41" s="182"/>
      <c r="D41" s="182"/>
      <c r="E41" s="182"/>
      <c r="F41" s="182"/>
      <c r="G41" s="182"/>
      <c r="H41" s="182"/>
      <c r="I41" s="182"/>
      <c r="J41" s="182"/>
      <c r="K41" s="182"/>
      <c r="L41" s="182"/>
      <c r="M41" s="182"/>
      <c r="N41" s="182"/>
      <c r="O41" s="182"/>
      <c r="P41" s="182"/>
      <c r="Q41" s="182"/>
      <c r="S41" s="183"/>
      <c r="T41" s="183"/>
      <c r="U41" s="183"/>
      <c r="V41" s="183"/>
      <c r="W41" s="183"/>
      <c r="X41" s="183"/>
      <c r="Y41" s="183"/>
      <c r="Z41" s="183"/>
      <c r="AA41" s="183"/>
      <c r="AB41" s="183"/>
      <c r="AC41" s="183"/>
      <c r="AD41" s="183"/>
      <c r="AE41" s="183"/>
      <c r="AF41" s="183"/>
      <c r="AG41" s="183"/>
      <c r="AH41" s="183"/>
    </row>
    <row r="42" spans="2:34">
      <c r="B42" s="182"/>
      <c r="C42" s="182"/>
      <c r="D42" s="182"/>
      <c r="E42" s="182"/>
      <c r="F42" s="182"/>
      <c r="G42" s="182"/>
      <c r="H42" s="182"/>
      <c r="I42" s="182"/>
      <c r="J42" s="182"/>
      <c r="K42" s="182"/>
      <c r="L42" s="182"/>
      <c r="M42" s="182"/>
      <c r="N42" s="182"/>
      <c r="O42" s="182"/>
      <c r="P42" s="182"/>
      <c r="Q42" s="182"/>
      <c r="S42" s="183"/>
      <c r="T42" s="183"/>
      <c r="U42" s="183"/>
      <c r="V42" s="183"/>
      <c r="W42" s="183"/>
      <c r="X42" s="183"/>
      <c r="Y42" s="183"/>
      <c r="Z42" s="183"/>
      <c r="AA42" s="183"/>
      <c r="AB42" s="183"/>
      <c r="AC42" s="183"/>
      <c r="AD42" s="183"/>
      <c r="AE42" s="183"/>
      <c r="AF42" s="183"/>
      <c r="AG42" s="183"/>
      <c r="AH42" s="183"/>
    </row>
    <row r="43" spans="2:34">
      <c r="B43" s="182"/>
      <c r="C43" s="182"/>
      <c r="D43" s="182"/>
      <c r="E43" s="182"/>
      <c r="F43" s="182"/>
      <c r="G43" s="182"/>
      <c r="H43" s="182"/>
      <c r="I43" s="182"/>
      <c r="J43" s="182"/>
      <c r="K43" s="182"/>
      <c r="L43" s="182"/>
      <c r="M43" s="182"/>
      <c r="N43" s="182"/>
      <c r="O43" s="182"/>
      <c r="P43" s="182"/>
      <c r="Q43" s="182"/>
      <c r="S43" s="183"/>
      <c r="T43" s="183"/>
      <c r="U43" s="183"/>
      <c r="V43" s="183"/>
      <c r="W43" s="183"/>
      <c r="X43" s="183"/>
      <c r="Y43" s="183"/>
      <c r="Z43" s="183"/>
      <c r="AA43" s="183"/>
      <c r="AB43" s="183"/>
      <c r="AC43" s="183"/>
      <c r="AD43" s="183"/>
      <c r="AE43" s="183"/>
      <c r="AF43" s="183"/>
      <c r="AG43" s="183"/>
      <c r="AH43" s="183"/>
    </row>
    <row r="44" spans="2:34">
      <c r="B44" s="182"/>
      <c r="C44" s="182"/>
      <c r="D44" s="182"/>
      <c r="E44" s="182"/>
      <c r="F44" s="182"/>
      <c r="G44" s="182"/>
      <c r="H44" s="182"/>
      <c r="I44" s="182"/>
      <c r="J44" s="182"/>
      <c r="K44" s="182"/>
      <c r="L44" s="182"/>
      <c r="M44" s="182"/>
      <c r="N44" s="182"/>
      <c r="O44" s="182"/>
      <c r="P44" s="182"/>
      <c r="Q44" s="182"/>
      <c r="S44" s="183"/>
      <c r="T44" s="183"/>
      <c r="U44" s="183"/>
      <c r="V44" s="183"/>
      <c r="W44" s="183"/>
      <c r="X44" s="183"/>
      <c r="Y44" s="183"/>
      <c r="Z44" s="183"/>
      <c r="AA44" s="183"/>
      <c r="AB44" s="183"/>
      <c r="AC44" s="183"/>
      <c r="AD44" s="183"/>
      <c r="AE44" s="183"/>
      <c r="AF44" s="183"/>
      <c r="AG44" s="183"/>
      <c r="AH44" s="183"/>
    </row>
    <row r="45" spans="2:34">
      <c r="B45" s="182"/>
      <c r="C45" s="182"/>
      <c r="D45" s="182"/>
      <c r="E45" s="182"/>
      <c r="F45" s="182"/>
      <c r="G45" s="182"/>
      <c r="H45" s="182"/>
      <c r="I45" s="182"/>
      <c r="J45" s="182"/>
      <c r="K45" s="182"/>
      <c r="L45" s="182"/>
      <c r="M45" s="182"/>
      <c r="N45" s="182"/>
      <c r="O45" s="182"/>
      <c r="P45" s="182"/>
      <c r="Q45" s="182"/>
      <c r="S45" s="183"/>
      <c r="T45" s="183"/>
      <c r="U45" s="183"/>
      <c r="V45" s="183"/>
      <c r="W45" s="183"/>
      <c r="X45" s="183"/>
      <c r="Y45" s="183"/>
      <c r="Z45" s="183"/>
      <c r="AA45" s="183"/>
      <c r="AB45" s="183"/>
      <c r="AC45" s="183"/>
      <c r="AD45" s="183"/>
      <c r="AE45" s="183"/>
      <c r="AF45" s="183"/>
      <c r="AG45" s="183"/>
      <c r="AH45" s="183"/>
    </row>
    <row r="46" spans="2:34">
      <c r="B46" s="182"/>
      <c r="C46" s="182"/>
      <c r="D46" s="182"/>
      <c r="E46" s="182"/>
      <c r="F46" s="182"/>
      <c r="G46" s="182"/>
      <c r="H46" s="182"/>
      <c r="I46" s="182"/>
      <c r="J46" s="182"/>
      <c r="K46" s="182"/>
      <c r="L46" s="182"/>
      <c r="M46" s="182"/>
      <c r="N46" s="182"/>
      <c r="O46" s="182"/>
      <c r="P46" s="182"/>
      <c r="Q46" s="182"/>
      <c r="S46" s="183"/>
      <c r="T46" s="183"/>
      <c r="U46" s="183"/>
      <c r="V46" s="183"/>
      <c r="W46" s="183"/>
      <c r="X46" s="183"/>
      <c r="Y46" s="183"/>
      <c r="Z46" s="183"/>
      <c r="AA46" s="183"/>
      <c r="AB46" s="183"/>
      <c r="AC46" s="183"/>
      <c r="AD46" s="183"/>
      <c r="AE46" s="183"/>
      <c r="AF46" s="183"/>
      <c r="AG46" s="183"/>
      <c r="AH46" s="183"/>
    </row>
    <row r="47" spans="2:34">
      <c r="B47" s="182"/>
      <c r="C47" s="182"/>
      <c r="D47" s="182"/>
      <c r="E47" s="182"/>
      <c r="F47" s="182"/>
      <c r="G47" s="182"/>
      <c r="H47" s="182"/>
      <c r="I47" s="182"/>
      <c r="J47" s="182"/>
      <c r="K47" s="182"/>
      <c r="L47" s="182"/>
      <c r="M47" s="182"/>
      <c r="N47" s="182"/>
      <c r="O47" s="182"/>
      <c r="P47" s="182"/>
      <c r="Q47" s="182"/>
      <c r="S47" s="183"/>
      <c r="T47" s="183"/>
      <c r="U47" s="183"/>
      <c r="V47" s="183"/>
      <c r="W47" s="183"/>
      <c r="X47" s="183"/>
      <c r="Y47" s="183"/>
      <c r="Z47" s="183"/>
      <c r="AA47" s="183"/>
      <c r="AB47" s="183"/>
      <c r="AC47" s="183"/>
      <c r="AD47" s="183"/>
      <c r="AE47" s="183"/>
      <c r="AF47" s="183"/>
      <c r="AG47" s="183"/>
      <c r="AH47" s="183"/>
    </row>
    <row r="48" spans="2:34">
      <c r="B48" s="182"/>
      <c r="C48" s="182"/>
      <c r="D48" s="182"/>
      <c r="E48" s="182"/>
      <c r="F48" s="182"/>
      <c r="G48" s="182"/>
      <c r="H48" s="182"/>
      <c r="I48" s="182"/>
      <c r="J48" s="182"/>
      <c r="K48" s="182"/>
      <c r="L48" s="182"/>
      <c r="M48" s="182"/>
      <c r="N48" s="182"/>
      <c r="O48" s="182"/>
      <c r="P48" s="182"/>
      <c r="Q48" s="182"/>
      <c r="S48" s="183"/>
      <c r="T48" s="183"/>
      <c r="U48" s="183"/>
      <c r="V48" s="183"/>
      <c r="W48" s="183"/>
      <c r="X48" s="183"/>
      <c r="Y48" s="183"/>
      <c r="Z48" s="183"/>
      <c r="AA48" s="183"/>
      <c r="AB48" s="183"/>
      <c r="AC48" s="183"/>
      <c r="AD48" s="183"/>
      <c r="AE48" s="183"/>
      <c r="AF48" s="183"/>
      <c r="AG48" s="183"/>
      <c r="AH48" s="183"/>
    </row>
    <row r="49" spans="2:34">
      <c r="B49" s="182"/>
      <c r="C49" s="182"/>
      <c r="D49" s="182"/>
      <c r="E49" s="182"/>
      <c r="F49" s="182"/>
      <c r="G49" s="182"/>
      <c r="H49" s="182"/>
      <c r="I49" s="182"/>
      <c r="J49" s="182"/>
      <c r="K49" s="182"/>
      <c r="L49" s="182"/>
      <c r="M49" s="182"/>
      <c r="N49" s="182"/>
      <c r="O49" s="182"/>
      <c r="P49" s="182"/>
      <c r="Q49" s="182"/>
      <c r="S49" s="183"/>
      <c r="T49" s="183"/>
      <c r="U49" s="183"/>
      <c r="V49" s="183"/>
      <c r="W49" s="183"/>
      <c r="X49" s="183"/>
      <c r="Y49" s="183"/>
      <c r="Z49" s="183"/>
      <c r="AA49" s="183"/>
      <c r="AB49" s="183"/>
      <c r="AC49" s="183"/>
      <c r="AD49" s="183"/>
      <c r="AE49" s="183"/>
      <c r="AF49" s="183"/>
      <c r="AG49" s="183"/>
      <c r="AH49" s="183"/>
    </row>
    <row r="50" spans="2:34">
      <c r="B50" s="182"/>
      <c r="C50" s="182"/>
      <c r="D50" s="182"/>
      <c r="E50" s="182"/>
      <c r="F50" s="182"/>
      <c r="G50" s="182"/>
      <c r="H50" s="182"/>
      <c r="I50" s="182"/>
      <c r="J50" s="182"/>
      <c r="K50" s="182"/>
      <c r="L50" s="182"/>
      <c r="M50" s="182"/>
      <c r="N50" s="182"/>
      <c r="O50" s="182"/>
      <c r="P50" s="182"/>
      <c r="Q50" s="182"/>
      <c r="S50" s="183"/>
      <c r="T50" s="183"/>
      <c r="U50" s="183"/>
      <c r="V50" s="183"/>
      <c r="W50" s="183"/>
      <c r="X50" s="183"/>
      <c r="Y50" s="183"/>
      <c r="Z50" s="183"/>
      <c r="AA50" s="183"/>
      <c r="AB50" s="183"/>
      <c r="AC50" s="183"/>
      <c r="AD50" s="183"/>
      <c r="AE50" s="183"/>
      <c r="AF50" s="183"/>
      <c r="AG50" s="183"/>
      <c r="AH50" s="183"/>
    </row>
    <row r="51" spans="2:34">
      <c r="B51" s="182"/>
      <c r="C51" s="182"/>
      <c r="D51" s="182"/>
      <c r="E51" s="182"/>
      <c r="F51" s="182"/>
      <c r="G51" s="182"/>
      <c r="H51" s="182"/>
      <c r="I51" s="182"/>
      <c r="J51" s="182"/>
      <c r="K51" s="182"/>
      <c r="L51" s="182"/>
      <c r="M51" s="182"/>
      <c r="N51" s="182"/>
      <c r="O51" s="182"/>
      <c r="P51" s="182"/>
      <c r="Q51" s="182"/>
      <c r="S51" s="183"/>
      <c r="T51" s="183"/>
      <c r="U51" s="183"/>
      <c r="V51" s="183"/>
      <c r="W51" s="183"/>
      <c r="X51" s="183"/>
      <c r="Y51" s="183"/>
      <c r="Z51" s="183"/>
      <c r="AA51" s="183"/>
      <c r="AB51" s="183"/>
      <c r="AC51" s="183"/>
      <c r="AD51" s="183"/>
      <c r="AE51" s="183"/>
      <c r="AF51" s="183"/>
      <c r="AG51" s="183"/>
      <c r="AH51" s="183"/>
    </row>
    <row r="52" spans="2:34">
      <c r="B52" s="182"/>
      <c r="C52" s="182"/>
      <c r="D52" s="182"/>
      <c r="E52" s="182"/>
      <c r="F52" s="182"/>
      <c r="G52" s="182"/>
      <c r="H52" s="182"/>
      <c r="I52" s="182"/>
      <c r="J52" s="182"/>
      <c r="K52" s="182"/>
      <c r="L52" s="182"/>
      <c r="M52" s="182"/>
      <c r="N52" s="182"/>
      <c r="O52" s="182"/>
      <c r="P52" s="182"/>
      <c r="Q52" s="182"/>
      <c r="S52" s="183"/>
      <c r="T52" s="183"/>
      <c r="U52" s="183"/>
      <c r="V52" s="183"/>
      <c r="W52" s="183"/>
      <c r="X52" s="183"/>
      <c r="Y52" s="183"/>
      <c r="Z52" s="183"/>
      <c r="AA52" s="183"/>
      <c r="AB52" s="183"/>
      <c r="AC52" s="183"/>
      <c r="AD52" s="183"/>
      <c r="AE52" s="183"/>
      <c r="AF52" s="183"/>
      <c r="AG52" s="183"/>
      <c r="AH52" s="183"/>
    </row>
    <row r="53" spans="2:34">
      <c r="B53" s="182"/>
      <c r="C53" s="182"/>
      <c r="D53" s="182"/>
      <c r="E53" s="182"/>
      <c r="F53" s="182"/>
      <c r="G53" s="182"/>
      <c r="H53" s="182"/>
      <c r="I53" s="182"/>
      <c r="J53" s="182"/>
      <c r="K53" s="182"/>
      <c r="L53" s="182"/>
      <c r="M53" s="182"/>
      <c r="N53" s="182"/>
      <c r="O53" s="182"/>
      <c r="P53" s="182"/>
      <c r="Q53" s="182"/>
      <c r="S53" s="183"/>
      <c r="T53" s="183"/>
      <c r="U53" s="183"/>
      <c r="V53" s="183"/>
      <c r="W53" s="183"/>
      <c r="X53" s="183"/>
      <c r="Y53" s="183"/>
      <c r="Z53" s="183"/>
      <c r="AA53" s="183"/>
      <c r="AB53" s="183"/>
      <c r="AC53" s="183"/>
      <c r="AD53" s="183"/>
      <c r="AE53" s="183"/>
      <c r="AF53" s="183"/>
      <c r="AG53" s="183"/>
      <c r="AH53" s="183"/>
    </row>
    <row r="54" spans="2:34">
      <c r="B54" s="182"/>
      <c r="C54" s="182"/>
      <c r="D54" s="182"/>
      <c r="E54" s="182"/>
      <c r="F54" s="182"/>
      <c r="G54" s="182"/>
      <c r="H54" s="182"/>
      <c r="I54" s="182"/>
      <c r="J54" s="182"/>
      <c r="K54" s="182"/>
      <c r="L54" s="182"/>
      <c r="M54" s="182"/>
      <c r="N54" s="182"/>
      <c r="O54" s="182"/>
      <c r="P54" s="182"/>
      <c r="Q54" s="182"/>
      <c r="S54" s="183"/>
      <c r="T54" s="183"/>
      <c r="U54" s="183"/>
      <c r="V54" s="183"/>
      <c r="W54" s="183"/>
      <c r="X54" s="183"/>
      <c r="Y54" s="183"/>
      <c r="Z54" s="183"/>
      <c r="AA54" s="183"/>
      <c r="AB54" s="183"/>
      <c r="AC54" s="183"/>
      <c r="AD54" s="183"/>
      <c r="AE54" s="183"/>
      <c r="AF54" s="183"/>
      <c r="AG54" s="183"/>
      <c r="AH54" s="183"/>
    </row>
    <row r="55" spans="2:34">
      <c r="B55" s="182"/>
      <c r="C55" s="182"/>
      <c r="D55" s="182"/>
      <c r="E55" s="182"/>
      <c r="F55" s="182"/>
      <c r="G55" s="182"/>
      <c r="H55" s="182"/>
      <c r="I55" s="182"/>
      <c r="J55" s="182"/>
      <c r="K55" s="182"/>
      <c r="L55" s="182"/>
      <c r="M55" s="182"/>
      <c r="N55" s="182"/>
      <c r="O55" s="182"/>
      <c r="P55" s="182"/>
      <c r="Q55" s="182"/>
      <c r="S55" s="183"/>
      <c r="T55" s="183"/>
      <c r="U55" s="183"/>
      <c r="V55" s="183"/>
      <c r="W55" s="183"/>
      <c r="X55" s="183"/>
      <c r="Y55" s="183"/>
      <c r="Z55" s="183"/>
      <c r="AA55" s="183"/>
      <c r="AB55" s="183"/>
      <c r="AC55" s="183"/>
      <c r="AD55" s="183"/>
      <c r="AE55" s="183"/>
      <c r="AF55" s="183"/>
      <c r="AG55" s="183"/>
      <c r="AH55" s="183"/>
    </row>
    <row r="56" spans="2:34">
      <c r="B56" s="182"/>
      <c r="C56" s="182"/>
      <c r="D56" s="182"/>
      <c r="E56" s="182"/>
      <c r="F56" s="182"/>
      <c r="G56" s="182"/>
      <c r="H56" s="182"/>
      <c r="I56" s="182"/>
      <c r="J56" s="182"/>
      <c r="K56" s="182"/>
      <c r="L56" s="182"/>
      <c r="M56" s="182"/>
      <c r="N56" s="182"/>
      <c r="O56" s="182"/>
      <c r="P56" s="182"/>
      <c r="Q56" s="182"/>
      <c r="S56" s="183"/>
      <c r="T56" s="183"/>
      <c r="U56" s="183"/>
      <c r="V56" s="183"/>
      <c r="W56" s="183"/>
      <c r="X56" s="183"/>
      <c r="Y56" s="183"/>
      <c r="Z56" s="183"/>
      <c r="AA56" s="183"/>
      <c r="AB56" s="183"/>
      <c r="AC56" s="183"/>
      <c r="AD56" s="183"/>
      <c r="AE56" s="183"/>
      <c r="AF56" s="183"/>
      <c r="AG56" s="183"/>
      <c r="AH56" s="183"/>
    </row>
    <row r="57" spans="2:34">
      <c r="B57" s="182"/>
      <c r="C57" s="182"/>
      <c r="D57" s="182"/>
      <c r="E57" s="182"/>
      <c r="F57" s="182"/>
      <c r="G57" s="182"/>
      <c r="H57" s="182"/>
      <c r="I57" s="182"/>
      <c r="J57" s="182"/>
      <c r="K57" s="182"/>
      <c r="L57" s="182"/>
      <c r="M57" s="182"/>
      <c r="N57" s="182"/>
      <c r="O57" s="182"/>
      <c r="P57" s="182"/>
      <c r="Q57" s="182"/>
      <c r="S57" s="183"/>
      <c r="T57" s="183"/>
      <c r="U57" s="183"/>
      <c r="V57" s="183"/>
      <c r="W57" s="183"/>
      <c r="X57" s="183"/>
      <c r="Y57" s="183"/>
      <c r="Z57" s="183"/>
      <c r="AA57" s="183"/>
      <c r="AB57" s="183"/>
      <c r="AC57" s="183"/>
      <c r="AD57" s="183"/>
      <c r="AE57" s="183"/>
      <c r="AF57" s="183"/>
      <c r="AG57" s="183"/>
      <c r="AH57" s="183"/>
    </row>
    <row r="58" spans="2:34">
      <c r="B58" s="182"/>
      <c r="C58" s="182"/>
      <c r="D58" s="182"/>
      <c r="E58" s="182"/>
      <c r="F58" s="182"/>
      <c r="G58" s="182"/>
      <c r="H58" s="182"/>
      <c r="I58" s="182"/>
      <c r="J58" s="182"/>
      <c r="K58" s="182"/>
      <c r="L58" s="182"/>
      <c r="M58" s="182"/>
      <c r="N58" s="182"/>
      <c r="O58" s="182"/>
      <c r="P58" s="182"/>
      <c r="Q58" s="182"/>
      <c r="S58" s="183"/>
      <c r="T58" s="183"/>
      <c r="U58" s="183"/>
      <c r="V58" s="183"/>
      <c r="W58" s="183"/>
      <c r="X58" s="183"/>
      <c r="Y58" s="183"/>
      <c r="Z58" s="183"/>
      <c r="AA58" s="183"/>
      <c r="AB58" s="183"/>
      <c r="AC58" s="183"/>
      <c r="AD58" s="183"/>
      <c r="AE58" s="183"/>
      <c r="AF58" s="183"/>
      <c r="AG58" s="183"/>
      <c r="AH58" s="183"/>
    </row>
    <row r="59" spans="2:34">
      <c r="B59" s="182"/>
      <c r="C59" s="182"/>
      <c r="D59" s="182"/>
      <c r="E59" s="182"/>
      <c r="F59" s="182"/>
      <c r="G59" s="182"/>
      <c r="H59" s="182"/>
      <c r="I59" s="182"/>
      <c r="J59" s="182"/>
      <c r="K59" s="182"/>
      <c r="L59" s="182"/>
      <c r="M59" s="182"/>
      <c r="N59" s="182"/>
      <c r="O59" s="182"/>
      <c r="P59" s="182"/>
      <c r="Q59" s="182"/>
      <c r="S59" s="183"/>
      <c r="T59" s="183"/>
      <c r="U59" s="183"/>
      <c r="V59" s="183"/>
      <c r="W59" s="183"/>
      <c r="X59" s="183"/>
      <c r="Y59" s="183"/>
      <c r="Z59" s="183"/>
      <c r="AA59" s="183"/>
      <c r="AB59" s="183"/>
      <c r="AC59" s="183"/>
      <c r="AD59" s="183"/>
      <c r="AE59" s="183"/>
      <c r="AF59" s="183"/>
      <c r="AG59" s="183"/>
      <c r="AH59" s="183"/>
    </row>
    <row r="60" spans="2:34">
      <c r="B60" s="182"/>
      <c r="C60" s="182"/>
      <c r="D60" s="182"/>
      <c r="E60" s="182"/>
      <c r="F60" s="182"/>
      <c r="G60" s="182"/>
      <c r="H60" s="182"/>
      <c r="I60" s="182"/>
      <c r="J60" s="182"/>
      <c r="K60" s="182"/>
      <c r="L60" s="182"/>
      <c r="M60" s="182"/>
      <c r="N60" s="182"/>
      <c r="O60" s="182"/>
      <c r="P60" s="182"/>
      <c r="Q60" s="182"/>
      <c r="S60" s="183"/>
      <c r="T60" s="183"/>
      <c r="U60" s="183"/>
      <c r="V60" s="183"/>
      <c r="W60" s="183"/>
      <c r="X60" s="183"/>
      <c r="Y60" s="183"/>
      <c r="Z60" s="183"/>
      <c r="AA60" s="183"/>
      <c r="AB60" s="183"/>
      <c r="AC60" s="183"/>
      <c r="AD60" s="183"/>
      <c r="AE60" s="183"/>
      <c r="AF60" s="183"/>
      <c r="AG60" s="183"/>
      <c r="AH60" s="183"/>
    </row>
    <row r="61" spans="2:34">
      <c r="B61" s="182"/>
      <c r="C61" s="182"/>
      <c r="D61" s="182"/>
      <c r="E61" s="182"/>
      <c r="F61" s="182"/>
      <c r="G61" s="182"/>
      <c r="H61" s="182"/>
      <c r="I61" s="182"/>
      <c r="J61" s="182"/>
      <c r="K61" s="182"/>
      <c r="L61" s="182"/>
      <c r="M61" s="182"/>
      <c r="N61" s="182"/>
      <c r="O61" s="182"/>
      <c r="P61" s="182"/>
      <c r="Q61" s="182"/>
      <c r="S61" s="183"/>
      <c r="T61" s="183"/>
      <c r="U61" s="183"/>
      <c r="V61" s="183"/>
      <c r="W61" s="183"/>
      <c r="X61" s="183"/>
      <c r="Y61" s="183"/>
      <c r="Z61" s="183"/>
      <c r="AA61" s="183"/>
      <c r="AB61" s="183"/>
      <c r="AC61" s="183"/>
      <c r="AD61" s="183"/>
      <c r="AE61" s="183"/>
      <c r="AF61" s="183"/>
      <c r="AG61" s="183"/>
      <c r="AH61" s="183"/>
    </row>
    <row r="62" spans="2:34">
      <c r="B62" s="182"/>
      <c r="C62" s="182"/>
      <c r="D62" s="182"/>
      <c r="E62" s="182"/>
      <c r="F62" s="182"/>
      <c r="G62" s="182"/>
      <c r="H62" s="182"/>
      <c r="I62" s="182"/>
      <c r="J62" s="182"/>
      <c r="K62" s="182"/>
      <c r="L62" s="182"/>
      <c r="M62" s="182"/>
      <c r="N62" s="182"/>
      <c r="O62" s="182"/>
      <c r="P62" s="182"/>
      <c r="Q62" s="182"/>
      <c r="S62" s="183"/>
      <c r="T62" s="183"/>
      <c r="U62" s="183"/>
      <c r="V62" s="183"/>
      <c r="W62" s="183"/>
      <c r="X62" s="183"/>
      <c r="Y62" s="183"/>
      <c r="Z62" s="183"/>
      <c r="AA62" s="183"/>
      <c r="AB62" s="183"/>
      <c r="AC62" s="183"/>
      <c r="AD62" s="183"/>
      <c r="AE62" s="183"/>
      <c r="AF62" s="183"/>
      <c r="AG62" s="183"/>
      <c r="AH62" s="183"/>
    </row>
    <row r="63" spans="2:34">
      <c r="B63" s="182"/>
      <c r="C63" s="182"/>
      <c r="D63" s="182"/>
      <c r="E63" s="182"/>
      <c r="F63" s="182"/>
      <c r="G63" s="182"/>
      <c r="H63" s="182"/>
      <c r="I63" s="182"/>
      <c r="J63" s="182"/>
      <c r="K63" s="182"/>
      <c r="L63" s="182"/>
      <c r="M63" s="182"/>
      <c r="N63" s="182"/>
      <c r="O63" s="182"/>
      <c r="P63" s="182"/>
      <c r="Q63" s="182"/>
      <c r="S63" s="183"/>
      <c r="T63" s="183"/>
      <c r="U63" s="183"/>
      <c r="V63" s="183"/>
      <c r="W63" s="183"/>
      <c r="X63" s="183"/>
      <c r="Y63" s="183"/>
      <c r="Z63" s="183"/>
      <c r="AA63" s="183"/>
      <c r="AB63" s="183"/>
      <c r="AC63" s="183"/>
      <c r="AD63" s="183"/>
      <c r="AE63" s="183"/>
      <c r="AF63" s="183"/>
      <c r="AG63" s="183"/>
      <c r="AH63" s="183"/>
    </row>
    <row r="64" spans="2:34">
      <c r="B64" s="182"/>
      <c r="C64" s="182"/>
      <c r="D64" s="182"/>
      <c r="E64" s="182"/>
      <c r="F64" s="182"/>
      <c r="G64" s="182"/>
      <c r="H64" s="182"/>
      <c r="I64" s="182"/>
      <c r="J64" s="182"/>
      <c r="K64" s="182"/>
      <c r="L64" s="182"/>
      <c r="M64" s="182"/>
      <c r="N64" s="182"/>
      <c r="O64" s="182"/>
      <c r="P64" s="182"/>
      <c r="Q64" s="182"/>
      <c r="S64" s="183"/>
      <c r="T64" s="183"/>
      <c r="U64" s="183"/>
      <c r="V64" s="183"/>
      <c r="W64" s="183"/>
      <c r="X64" s="183"/>
      <c r="Y64" s="183"/>
      <c r="Z64" s="183"/>
      <c r="AA64" s="183"/>
      <c r="AB64" s="183"/>
      <c r="AC64" s="183"/>
      <c r="AD64" s="183"/>
      <c r="AE64" s="183"/>
      <c r="AF64" s="183"/>
      <c r="AG64" s="183"/>
      <c r="AH64" s="183"/>
    </row>
    <row r="65" spans="2:34">
      <c r="B65" s="182"/>
      <c r="C65" s="182"/>
      <c r="D65" s="182"/>
      <c r="E65" s="182"/>
      <c r="F65" s="182"/>
      <c r="G65" s="182"/>
      <c r="H65" s="182"/>
      <c r="I65" s="182"/>
      <c r="J65" s="182"/>
      <c r="K65" s="182"/>
      <c r="L65" s="182"/>
      <c r="M65" s="182"/>
      <c r="N65" s="182"/>
      <c r="O65" s="182"/>
      <c r="P65" s="182"/>
      <c r="Q65" s="182"/>
      <c r="S65" s="183"/>
      <c r="T65" s="183"/>
      <c r="U65" s="183"/>
      <c r="V65" s="183"/>
      <c r="W65" s="183"/>
      <c r="X65" s="183"/>
      <c r="Y65" s="183"/>
      <c r="Z65" s="183"/>
      <c r="AA65" s="183"/>
      <c r="AB65" s="183"/>
      <c r="AC65" s="183"/>
      <c r="AD65" s="183"/>
      <c r="AE65" s="183"/>
      <c r="AF65" s="183"/>
      <c r="AG65" s="183"/>
      <c r="AH65" s="183"/>
    </row>
    <row r="66" spans="2:34">
      <c r="B66" s="182"/>
      <c r="C66" s="182"/>
      <c r="D66" s="182"/>
      <c r="E66" s="182"/>
      <c r="F66" s="182"/>
      <c r="G66" s="182"/>
      <c r="H66" s="182"/>
      <c r="I66" s="182"/>
      <c r="J66" s="182"/>
      <c r="K66" s="182"/>
      <c r="L66" s="182"/>
      <c r="M66" s="182"/>
      <c r="N66" s="182"/>
      <c r="O66" s="182"/>
      <c r="P66" s="182"/>
      <c r="Q66" s="182"/>
      <c r="S66" s="183"/>
      <c r="T66" s="183"/>
      <c r="U66" s="183"/>
      <c r="V66" s="183"/>
      <c r="W66" s="183"/>
      <c r="X66" s="183"/>
      <c r="Y66" s="183"/>
      <c r="Z66" s="183"/>
      <c r="AA66" s="183"/>
      <c r="AB66" s="183"/>
      <c r="AC66" s="183"/>
      <c r="AD66" s="183"/>
      <c r="AE66" s="183"/>
      <c r="AF66" s="183"/>
      <c r="AG66" s="183"/>
      <c r="AH66" s="183"/>
    </row>
    <row r="67" spans="2:34">
      <c r="B67" s="182"/>
      <c r="C67" s="182"/>
      <c r="D67" s="182"/>
      <c r="E67" s="182"/>
      <c r="F67" s="182"/>
      <c r="G67" s="182"/>
      <c r="H67" s="182"/>
      <c r="I67" s="182"/>
      <c r="J67" s="182"/>
      <c r="K67" s="182"/>
      <c r="L67" s="182"/>
      <c r="M67" s="182"/>
      <c r="N67" s="182"/>
      <c r="O67" s="182"/>
      <c r="P67" s="182"/>
      <c r="Q67" s="182"/>
      <c r="S67" s="183"/>
      <c r="T67" s="183"/>
      <c r="U67" s="183"/>
      <c r="V67" s="183"/>
      <c r="W67" s="183"/>
      <c r="X67" s="183"/>
      <c r="Y67" s="183"/>
      <c r="Z67" s="183"/>
      <c r="AA67" s="183"/>
      <c r="AB67" s="183"/>
      <c r="AC67" s="183"/>
      <c r="AD67" s="183"/>
      <c r="AE67" s="183"/>
      <c r="AF67" s="183"/>
      <c r="AG67" s="183"/>
      <c r="AH67" s="183"/>
    </row>
    <row r="68" spans="2:34">
      <c r="B68" s="182"/>
      <c r="C68" s="182"/>
      <c r="D68" s="182"/>
      <c r="E68" s="182"/>
      <c r="F68" s="182"/>
      <c r="G68" s="182"/>
      <c r="H68" s="182"/>
      <c r="I68" s="182"/>
      <c r="J68" s="182"/>
      <c r="K68" s="182"/>
      <c r="L68" s="182"/>
      <c r="M68" s="182"/>
      <c r="N68" s="182"/>
      <c r="O68" s="182"/>
      <c r="P68" s="182"/>
      <c r="Q68" s="182"/>
      <c r="S68" s="183"/>
      <c r="T68" s="183"/>
      <c r="U68" s="183"/>
      <c r="V68" s="183"/>
      <c r="W68" s="183"/>
      <c r="X68" s="183"/>
      <c r="Y68" s="183"/>
      <c r="Z68" s="183"/>
      <c r="AA68" s="183"/>
      <c r="AB68" s="183"/>
      <c r="AC68" s="183"/>
      <c r="AD68" s="183"/>
      <c r="AE68" s="183"/>
      <c r="AF68" s="183"/>
      <c r="AG68" s="183"/>
      <c r="AH68" s="183"/>
    </row>
    <row r="69" spans="2:34">
      <c r="B69" s="182"/>
      <c r="C69" s="182"/>
      <c r="D69" s="182"/>
      <c r="E69" s="182"/>
      <c r="F69" s="182"/>
      <c r="G69" s="182"/>
      <c r="H69" s="182"/>
      <c r="I69" s="182"/>
      <c r="J69" s="182"/>
      <c r="K69" s="182"/>
      <c r="L69" s="182"/>
      <c r="M69" s="182"/>
      <c r="N69" s="182"/>
      <c r="O69" s="182"/>
      <c r="P69" s="182"/>
      <c r="Q69" s="182"/>
      <c r="S69" s="183"/>
      <c r="T69" s="183"/>
      <c r="U69" s="183"/>
      <c r="V69" s="183"/>
      <c r="W69" s="183"/>
      <c r="X69" s="183"/>
      <c r="Y69" s="183"/>
      <c r="Z69" s="183"/>
      <c r="AA69" s="183"/>
      <c r="AB69" s="183"/>
      <c r="AC69" s="183"/>
      <c r="AD69" s="183"/>
      <c r="AE69" s="183"/>
      <c r="AF69" s="183"/>
      <c r="AG69" s="183"/>
      <c r="AH69" s="183"/>
    </row>
    <row r="70" spans="2:34">
      <c r="B70" s="182"/>
      <c r="C70" s="182"/>
      <c r="D70" s="182"/>
      <c r="E70" s="182"/>
      <c r="F70" s="182"/>
      <c r="G70" s="182"/>
      <c r="H70" s="182"/>
      <c r="I70" s="182"/>
      <c r="J70" s="182"/>
      <c r="K70" s="182"/>
      <c r="L70" s="182"/>
      <c r="M70" s="182"/>
      <c r="N70" s="182"/>
      <c r="O70" s="182"/>
      <c r="P70" s="182"/>
      <c r="Q70" s="182"/>
      <c r="S70" s="183"/>
      <c r="T70" s="183"/>
      <c r="U70" s="183"/>
      <c r="V70" s="183"/>
      <c r="W70" s="183"/>
      <c r="X70" s="183"/>
      <c r="Y70" s="183"/>
      <c r="Z70" s="183"/>
      <c r="AA70" s="183"/>
      <c r="AB70" s="183"/>
      <c r="AC70" s="183"/>
      <c r="AD70" s="183"/>
      <c r="AE70" s="183"/>
      <c r="AF70" s="183"/>
      <c r="AG70" s="183"/>
      <c r="AH70" s="183"/>
    </row>
    <row r="71" spans="2:34">
      <c r="B71" s="182"/>
      <c r="C71" s="182"/>
      <c r="D71" s="182"/>
      <c r="E71" s="182"/>
      <c r="F71" s="182"/>
      <c r="G71" s="182"/>
      <c r="H71" s="182"/>
      <c r="I71" s="182"/>
      <c r="J71" s="182"/>
      <c r="K71" s="182"/>
      <c r="L71" s="182"/>
      <c r="M71" s="182"/>
      <c r="N71" s="182"/>
      <c r="O71" s="182"/>
      <c r="P71" s="182"/>
      <c r="Q71" s="182"/>
      <c r="S71" s="183"/>
      <c r="T71" s="183"/>
      <c r="U71" s="183"/>
      <c r="V71" s="183"/>
      <c r="W71" s="183"/>
      <c r="X71" s="183"/>
      <c r="Y71" s="183"/>
      <c r="Z71" s="183"/>
      <c r="AA71" s="183"/>
      <c r="AB71" s="183"/>
      <c r="AC71" s="183"/>
      <c r="AD71" s="183"/>
      <c r="AE71" s="183"/>
      <c r="AF71" s="183"/>
      <c r="AG71" s="183"/>
      <c r="AH71" s="183"/>
    </row>
    <row r="72" spans="2:34">
      <c r="B72" s="182"/>
      <c r="C72" s="182"/>
      <c r="D72" s="182"/>
      <c r="E72" s="182"/>
      <c r="F72" s="182"/>
      <c r="G72" s="182"/>
      <c r="H72" s="182"/>
      <c r="I72" s="182"/>
      <c r="J72" s="182"/>
      <c r="K72" s="182"/>
      <c r="L72" s="182"/>
      <c r="M72" s="182"/>
      <c r="N72" s="182"/>
      <c r="O72" s="182"/>
      <c r="P72" s="182"/>
      <c r="Q72" s="182"/>
      <c r="S72" s="183"/>
      <c r="T72" s="183"/>
      <c r="U72" s="183"/>
      <c r="V72" s="183"/>
      <c r="W72" s="183"/>
      <c r="X72" s="183"/>
      <c r="Y72" s="183"/>
      <c r="Z72" s="183"/>
      <c r="AA72" s="183"/>
      <c r="AB72" s="183"/>
      <c r="AC72" s="183"/>
      <c r="AD72" s="183"/>
      <c r="AE72" s="183"/>
      <c r="AF72" s="183"/>
      <c r="AG72" s="183"/>
      <c r="AH72" s="183"/>
    </row>
    <row r="73" spans="2:34">
      <c r="B73" s="182"/>
      <c r="C73" s="182"/>
      <c r="D73" s="182"/>
      <c r="E73" s="182"/>
      <c r="F73" s="182"/>
      <c r="G73" s="182"/>
      <c r="H73" s="182"/>
      <c r="I73" s="182"/>
      <c r="J73" s="182"/>
      <c r="K73" s="182"/>
      <c r="L73" s="182"/>
      <c r="M73" s="182"/>
      <c r="N73" s="182"/>
      <c r="O73" s="182"/>
      <c r="P73" s="182"/>
      <c r="Q73" s="182"/>
      <c r="S73" s="183"/>
      <c r="T73" s="183"/>
      <c r="U73" s="183"/>
      <c r="V73" s="183"/>
      <c r="W73" s="183"/>
      <c r="X73" s="183"/>
      <c r="Y73" s="183"/>
      <c r="Z73" s="183"/>
      <c r="AA73" s="183"/>
      <c r="AB73" s="183"/>
      <c r="AC73" s="183"/>
      <c r="AD73" s="183"/>
      <c r="AE73" s="183"/>
      <c r="AF73" s="183"/>
      <c r="AG73" s="183"/>
      <c r="AH73" s="183"/>
    </row>
    <row r="74" spans="2:34">
      <c r="B74" s="182"/>
      <c r="C74" s="182"/>
      <c r="D74" s="414"/>
      <c r="E74" s="415"/>
      <c r="F74" s="414"/>
      <c r="G74" s="182"/>
      <c r="H74" s="182"/>
      <c r="I74" s="182"/>
      <c r="J74" s="182"/>
      <c r="K74" s="182"/>
      <c r="L74" s="182"/>
      <c r="M74" s="182"/>
      <c r="N74" s="182"/>
      <c r="O74" s="182"/>
      <c r="P74" s="182"/>
      <c r="Q74" s="182"/>
      <c r="S74" s="183"/>
      <c r="T74" s="183"/>
      <c r="U74" s="183"/>
      <c r="V74" s="183"/>
      <c r="W74" s="183"/>
      <c r="X74" s="416"/>
      <c r="Y74" s="416"/>
      <c r="Z74" s="416"/>
      <c r="AA74" s="416"/>
      <c r="AB74" s="416"/>
      <c r="AC74" s="416"/>
      <c r="AD74" s="183"/>
      <c r="AE74" s="183"/>
      <c r="AF74" s="183"/>
      <c r="AG74" s="183"/>
      <c r="AH74" s="183"/>
    </row>
    <row r="75" spans="2:34">
      <c r="B75" s="182"/>
      <c r="C75" s="182"/>
      <c r="D75" s="414"/>
      <c r="E75" s="415"/>
      <c r="F75" s="414"/>
      <c r="G75" s="182"/>
      <c r="H75" s="182"/>
      <c r="I75" s="182"/>
      <c r="J75" s="182"/>
      <c r="K75" s="182"/>
      <c r="L75" s="182"/>
      <c r="M75" s="182"/>
      <c r="N75" s="182"/>
      <c r="O75" s="182"/>
      <c r="P75" s="182"/>
      <c r="Q75" s="182"/>
      <c r="S75" s="183"/>
      <c r="T75" s="183"/>
      <c r="U75" s="183"/>
      <c r="V75" s="183"/>
      <c r="W75" s="183"/>
      <c r="X75" s="416"/>
      <c r="Y75" s="416"/>
      <c r="Z75" s="416"/>
      <c r="AA75" s="416"/>
      <c r="AB75" s="416"/>
      <c r="AC75" s="416"/>
      <c r="AD75" s="183"/>
      <c r="AE75" s="183"/>
      <c r="AF75" s="183"/>
      <c r="AG75" s="183"/>
      <c r="AH75" s="183"/>
    </row>
    <row r="76" spans="2:34">
      <c r="B76" s="182"/>
      <c r="C76" s="182"/>
      <c r="D76" s="414"/>
      <c r="E76" s="415"/>
      <c r="F76" s="414"/>
      <c r="G76" s="182"/>
      <c r="H76" s="182"/>
      <c r="I76" s="182"/>
      <c r="J76" s="182"/>
      <c r="K76" s="182"/>
      <c r="L76" s="182"/>
      <c r="M76" s="182"/>
      <c r="N76" s="182"/>
      <c r="O76" s="182"/>
      <c r="P76" s="182"/>
      <c r="Q76" s="182"/>
      <c r="S76" s="183"/>
      <c r="T76" s="183"/>
      <c r="U76" s="183"/>
      <c r="V76" s="183"/>
      <c r="W76" s="183"/>
      <c r="X76" s="416"/>
      <c r="Y76" s="416"/>
      <c r="Z76" s="416"/>
      <c r="AA76" s="416"/>
      <c r="AB76" s="416"/>
      <c r="AC76" s="416"/>
      <c r="AD76" s="183"/>
      <c r="AE76" s="183"/>
      <c r="AF76" s="183"/>
      <c r="AG76" s="183"/>
      <c r="AH76" s="183"/>
    </row>
    <row r="77" spans="2:34">
      <c r="B77" s="182"/>
      <c r="C77" s="182"/>
      <c r="D77" s="414"/>
      <c r="E77" s="415"/>
      <c r="F77" s="414"/>
      <c r="G77" s="182"/>
      <c r="H77" s="182"/>
      <c r="I77" s="182"/>
      <c r="J77" s="182"/>
      <c r="K77" s="182"/>
      <c r="L77" s="182"/>
      <c r="M77" s="182"/>
      <c r="N77" s="182"/>
      <c r="O77" s="182"/>
      <c r="P77" s="182"/>
      <c r="Q77" s="182"/>
      <c r="S77" s="183"/>
      <c r="T77" s="183"/>
      <c r="U77" s="183"/>
      <c r="V77" s="183"/>
      <c r="W77" s="183"/>
      <c r="X77" s="416"/>
      <c r="Y77" s="416"/>
      <c r="Z77" s="416"/>
      <c r="AA77" s="416"/>
      <c r="AB77" s="416"/>
      <c r="AC77" s="416"/>
      <c r="AD77" s="183"/>
      <c r="AE77" s="183"/>
      <c r="AF77" s="183"/>
      <c r="AG77" s="183"/>
      <c r="AH77" s="183"/>
    </row>
    <row r="78" spans="2:34">
      <c r="B78" s="182"/>
      <c r="C78" s="182"/>
      <c r="D78" s="414"/>
      <c r="E78" s="415"/>
      <c r="F78" s="414"/>
      <c r="G78" s="182"/>
      <c r="H78" s="182"/>
      <c r="I78" s="182"/>
      <c r="J78" s="182"/>
      <c r="K78" s="182"/>
      <c r="L78" s="182"/>
      <c r="M78" s="182"/>
      <c r="N78" s="182"/>
      <c r="O78" s="182"/>
      <c r="P78" s="182"/>
      <c r="Q78" s="182"/>
      <c r="S78" s="183"/>
      <c r="T78" s="183"/>
      <c r="U78" s="183"/>
      <c r="V78" s="183"/>
      <c r="W78" s="183"/>
      <c r="X78" s="416"/>
      <c r="Y78" s="416"/>
      <c r="Z78" s="416"/>
      <c r="AA78" s="416"/>
      <c r="AB78" s="416"/>
      <c r="AC78" s="416"/>
      <c r="AD78" s="183"/>
      <c r="AE78" s="183"/>
      <c r="AF78" s="183"/>
      <c r="AG78" s="183"/>
      <c r="AH78" s="183"/>
    </row>
    <row r="79" spans="2:34">
      <c r="B79" s="182"/>
      <c r="C79" s="182"/>
      <c r="D79" s="414"/>
      <c r="E79" s="415"/>
      <c r="F79" s="414"/>
      <c r="G79" s="182"/>
      <c r="H79" s="182"/>
      <c r="I79" s="182"/>
      <c r="J79" s="182"/>
      <c r="K79" s="182"/>
      <c r="L79" s="182"/>
      <c r="M79" s="182"/>
      <c r="N79" s="182"/>
      <c r="O79" s="182"/>
      <c r="P79" s="182"/>
      <c r="Q79" s="182"/>
      <c r="S79" s="183"/>
      <c r="T79" s="183"/>
      <c r="U79" s="183"/>
      <c r="V79" s="183"/>
      <c r="W79" s="183"/>
      <c r="X79" s="416"/>
      <c r="Y79" s="416"/>
      <c r="Z79" s="416"/>
      <c r="AA79" s="416"/>
      <c r="AB79" s="416"/>
      <c r="AC79" s="416"/>
      <c r="AD79" s="183"/>
      <c r="AE79" s="183"/>
      <c r="AF79" s="183"/>
      <c r="AG79" s="183"/>
      <c r="AH79" s="183"/>
    </row>
    <row r="80" spans="2:34">
      <c r="B80" s="182"/>
      <c r="C80" s="182"/>
      <c r="D80" s="414"/>
      <c r="E80" s="415"/>
      <c r="F80" s="414"/>
      <c r="G80" s="182"/>
      <c r="H80" s="182"/>
      <c r="I80" s="182"/>
      <c r="J80" s="182"/>
      <c r="K80" s="182"/>
      <c r="L80" s="182"/>
      <c r="M80" s="182"/>
      <c r="N80" s="182"/>
      <c r="O80" s="182"/>
      <c r="P80" s="182"/>
      <c r="Q80" s="182"/>
      <c r="S80" s="183"/>
      <c r="T80" s="183"/>
      <c r="U80" s="183"/>
      <c r="V80" s="183"/>
      <c r="W80" s="183"/>
      <c r="X80" s="416"/>
      <c r="Y80" s="416"/>
      <c r="Z80" s="416"/>
      <c r="AA80" s="416"/>
      <c r="AB80" s="416"/>
      <c r="AC80" s="416"/>
      <c r="AD80" s="183"/>
      <c r="AE80" s="183"/>
      <c r="AF80" s="183"/>
      <c r="AG80" s="183"/>
      <c r="AH80" s="183"/>
    </row>
    <row r="81" spans="2:34">
      <c r="B81" s="182"/>
      <c r="C81" s="182"/>
      <c r="D81" s="414"/>
      <c r="E81" s="415"/>
      <c r="F81" s="414"/>
      <c r="G81" s="182"/>
      <c r="H81" s="182"/>
      <c r="I81" s="182"/>
      <c r="J81" s="182"/>
      <c r="K81" s="182"/>
      <c r="L81" s="182"/>
      <c r="M81" s="182"/>
      <c r="N81" s="182"/>
      <c r="O81" s="182"/>
      <c r="P81" s="182"/>
      <c r="Q81" s="182"/>
      <c r="S81" s="183"/>
      <c r="T81" s="183"/>
      <c r="U81" s="183"/>
      <c r="V81" s="183"/>
      <c r="W81" s="183"/>
      <c r="X81" s="416"/>
      <c r="Y81" s="416"/>
      <c r="Z81" s="416"/>
      <c r="AA81" s="416"/>
      <c r="AB81" s="416"/>
      <c r="AC81" s="416"/>
      <c r="AD81" s="183"/>
      <c r="AE81" s="183"/>
      <c r="AF81" s="183"/>
      <c r="AG81" s="183"/>
      <c r="AH81" s="183"/>
    </row>
    <row r="82" spans="2:34">
      <c r="B82" s="182"/>
      <c r="C82" s="182"/>
      <c r="D82" s="414"/>
      <c r="E82" s="415"/>
      <c r="F82" s="414"/>
      <c r="G82" s="182"/>
      <c r="H82" s="182"/>
      <c r="I82" s="182"/>
      <c r="J82" s="182"/>
      <c r="K82" s="182"/>
      <c r="L82" s="182"/>
      <c r="M82" s="182"/>
      <c r="N82" s="182"/>
      <c r="O82" s="182"/>
      <c r="P82" s="182"/>
      <c r="Q82" s="182"/>
      <c r="S82" s="183"/>
      <c r="T82" s="183"/>
      <c r="U82" s="183"/>
      <c r="V82" s="183"/>
      <c r="W82" s="183"/>
      <c r="X82" s="416"/>
      <c r="Y82" s="416"/>
      <c r="Z82" s="416"/>
      <c r="AA82" s="416"/>
      <c r="AB82" s="416"/>
      <c r="AC82" s="416"/>
      <c r="AD82" s="183"/>
      <c r="AE82" s="183"/>
      <c r="AF82" s="183"/>
      <c r="AG82" s="183"/>
      <c r="AH82" s="183"/>
    </row>
    <row r="83" spans="2:34">
      <c r="B83" s="182"/>
      <c r="C83" s="182"/>
      <c r="D83" s="414"/>
      <c r="E83" s="415"/>
      <c r="F83" s="414"/>
      <c r="G83" s="182"/>
      <c r="H83" s="182"/>
      <c r="I83" s="182"/>
      <c r="J83" s="182"/>
      <c r="K83" s="182"/>
      <c r="L83" s="182"/>
      <c r="M83" s="182"/>
      <c r="N83" s="182"/>
      <c r="O83" s="182"/>
      <c r="P83" s="182"/>
      <c r="Q83" s="182"/>
      <c r="S83" s="183"/>
      <c r="T83" s="183"/>
      <c r="U83" s="183"/>
      <c r="V83" s="183"/>
      <c r="W83" s="183"/>
      <c r="X83" s="416"/>
      <c r="Y83" s="416"/>
      <c r="Z83" s="416"/>
      <c r="AA83" s="416"/>
      <c r="AB83" s="416"/>
      <c r="AC83" s="416"/>
      <c r="AD83" s="183"/>
      <c r="AE83" s="183"/>
      <c r="AF83" s="183"/>
      <c r="AG83" s="183"/>
      <c r="AH83" s="183"/>
    </row>
    <row r="84" spans="2:34">
      <c r="B84" s="182"/>
      <c r="C84" s="182"/>
      <c r="D84" s="414"/>
      <c r="E84" s="415"/>
      <c r="F84" s="414"/>
      <c r="G84" s="182"/>
      <c r="H84" s="182"/>
      <c r="I84" s="182"/>
      <c r="J84" s="182"/>
      <c r="K84" s="182"/>
      <c r="L84" s="182"/>
      <c r="M84" s="182"/>
      <c r="N84" s="182"/>
      <c r="O84" s="182"/>
      <c r="P84" s="182"/>
      <c r="Q84" s="182"/>
      <c r="S84" s="183"/>
      <c r="T84" s="183"/>
      <c r="U84" s="183"/>
      <c r="V84" s="183"/>
      <c r="W84" s="183"/>
      <c r="X84" s="416"/>
      <c r="Y84" s="416"/>
      <c r="Z84" s="416"/>
      <c r="AA84" s="416"/>
      <c r="AB84" s="416"/>
      <c r="AC84" s="416"/>
      <c r="AD84" s="183"/>
      <c r="AE84" s="183"/>
      <c r="AF84" s="183"/>
      <c r="AG84" s="183"/>
      <c r="AH84" s="183"/>
    </row>
    <row r="85" spans="2:34">
      <c r="B85" s="182"/>
      <c r="C85" s="182"/>
      <c r="D85" s="414"/>
      <c r="E85" s="415"/>
      <c r="F85" s="414"/>
      <c r="G85" s="182"/>
      <c r="H85" s="182"/>
      <c r="I85" s="182"/>
      <c r="J85" s="182"/>
      <c r="K85" s="182"/>
      <c r="L85" s="182"/>
      <c r="M85" s="182"/>
      <c r="N85" s="182"/>
      <c r="O85" s="182"/>
      <c r="P85" s="182"/>
      <c r="Q85" s="182"/>
      <c r="S85" s="183"/>
      <c r="T85" s="183"/>
      <c r="U85" s="183"/>
      <c r="V85" s="183"/>
      <c r="W85" s="183"/>
      <c r="X85" s="416"/>
      <c r="Y85" s="416"/>
      <c r="Z85" s="416"/>
      <c r="AA85" s="416"/>
      <c r="AB85" s="416"/>
      <c r="AC85" s="416"/>
      <c r="AD85" s="183"/>
      <c r="AE85" s="183"/>
      <c r="AF85" s="183"/>
      <c r="AG85" s="183"/>
      <c r="AH85" s="183"/>
    </row>
    <row r="86" spans="2:34">
      <c r="B86" s="182"/>
      <c r="C86" s="182"/>
      <c r="D86" s="414"/>
      <c r="E86" s="415"/>
      <c r="F86" s="414"/>
      <c r="G86" s="182"/>
      <c r="H86" s="182"/>
      <c r="I86" s="182"/>
      <c r="J86" s="182"/>
      <c r="K86" s="182"/>
      <c r="L86" s="182"/>
      <c r="M86" s="182"/>
      <c r="N86" s="182"/>
      <c r="O86" s="182"/>
      <c r="P86" s="182"/>
      <c r="Q86" s="182"/>
      <c r="S86" s="183"/>
      <c r="T86" s="183"/>
      <c r="U86" s="183"/>
      <c r="V86" s="183"/>
      <c r="W86" s="183"/>
      <c r="X86" s="416"/>
      <c r="Y86" s="416"/>
      <c r="Z86" s="416"/>
      <c r="AA86" s="416"/>
      <c r="AB86" s="416"/>
      <c r="AC86" s="416"/>
      <c r="AD86" s="183"/>
      <c r="AE86" s="183"/>
      <c r="AF86" s="183"/>
      <c r="AG86" s="183"/>
      <c r="AH86" s="183"/>
    </row>
    <row r="87" spans="2:34">
      <c r="B87" s="182"/>
      <c r="C87" s="182"/>
      <c r="D87" s="414"/>
      <c r="E87" s="415"/>
      <c r="F87" s="414"/>
      <c r="G87" s="182"/>
      <c r="H87" s="182"/>
      <c r="I87" s="182"/>
      <c r="J87" s="182"/>
      <c r="K87" s="182"/>
      <c r="L87" s="182"/>
      <c r="M87" s="182"/>
      <c r="N87" s="182"/>
      <c r="O87" s="182"/>
      <c r="P87" s="182"/>
      <c r="Q87" s="182"/>
      <c r="S87" s="183"/>
      <c r="T87" s="183"/>
      <c r="U87" s="183"/>
      <c r="V87" s="183"/>
      <c r="W87" s="417"/>
      <c r="X87" s="416"/>
      <c r="Y87" s="416"/>
      <c r="Z87" s="416"/>
      <c r="AA87" s="416"/>
      <c r="AB87" s="416"/>
      <c r="AC87" s="416"/>
      <c r="AD87" s="183"/>
      <c r="AE87" s="183"/>
      <c r="AF87" s="183"/>
      <c r="AG87" s="183"/>
      <c r="AH87" s="183"/>
    </row>
    <row r="88" spans="2:34">
      <c r="B88" s="182"/>
      <c r="C88" s="182"/>
      <c r="D88" s="414"/>
      <c r="E88" s="415"/>
      <c r="F88" s="414"/>
      <c r="G88" s="182"/>
      <c r="H88" s="182"/>
      <c r="I88" s="182"/>
      <c r="J88" s="182"/>
      <c r="K88" s="182"/>
      <c r="L88" s="182"/>
      <c r="M88" s="182"/>
      <c r="N88" s="182"/>
      <c r="O88" s="182"/>
      <c r="P88" s="182"/>
      <c r="Q88" s="182"/>
      <c r="S88" s="183"/>
      <c r="T88" s="183"/>
      <c r="U88" s="183"/>
      <c r="V88" s="183"/>
      <c r="W88" s="417"/>
      <c r="X88" s="416"/>
      <c r="Y88" s="416"/>
      <c r="Z88" s="416"/>
      <c r="AA88" s="416"/>
      <c r="AB88" s="416"/>
      <c r="AC88" s="416"/>
      <c r="AD88" s="183"/>
      <c r="AE88" s="183"/>
      <c r="AF88" s="183"/>
      <c r="AG88" s="183"/>
      <c r="AH88" s="183"/>
    </row>
    <row r="89" spans="2:34">
      <c r="B89" s="182"/>
      <c r="C89" s="182"/>
      <c r="D89" s="414"/>
      <c r="E89" s="415"/>
      <c r="F89" s="414"/>
      <c r="G89" s="182"/>
      <c r="H89" s="182"/>
      <c r="I89" s="182"/>
      <c r="J89" s="182"/>
      <c r="K89" s="182"/>
      <c r="L89" s="182"/>
      <c r="M89" s="182"/>
      <c r="N89" s="182"/>
      <c r="O89" s="182"/>
      <c r="P89" s="182"/>
      <c r="Q89" s="182"/>
      <c r="S89" s="183"/>
      <c r="T89" s="183"/>
      <c r="U89" s="183"/>
      <c r="V89" s="183"/>
      <c r="W89" s="417"/>
      <c r="X89" s="416"/>
      <c r="Y89" s="416"/>
      <c r="Z89" s="416"/>
      <c r="AA89" s="416"/>
      <c r="AB89" s="416"/>
      <c r="AC89" s="416"/>
      <c r="AD89" s="183"/>
      <c r="AE89" s="183"/>
      <c r="AF89" s="183"/>
      <c r="AG89" s="183"/>
      <c r="AH89" s="183"/>
    </row>
    <row r="90" spans="2:34">
      <c r="B90" s="182"/>
      <c r="C90" s="182"/>
      <c r="D90" s="414"/>
      <c r="E90" s="415"/>
      <c r="F90" s="414"/>
      <c r="G90" s="182"/>
      <c r="H90" s="182"/>
      <c r="I90" s="182"/>
      <c r="J90" s="182"/>
      <c r="K90" s="182"/>
      <c r="L90" s="182"/>
      <c r="M90" s="182"/>
      <c r="N90" s="182"/>
      <c r="O90" s="182"/>
      <c r="P90" s="182"/>
      <c r="Q90" s="182"/>
      <c r="S90" s="183"/>
      <c r="T90" s="183"/>
      <c r="U90" s="183"/>
      <c r="V90" s="183"/>
      <c r="W90" s="417"/>
      <c r="X90" s="416"/>
      <c r="Y90" s="416"/>
      <c r="Z90" s="416"/>
      <c r="AA90" s="416"/>
      <c r="AB90" s="416"/>
      <c r="AC90" s="416"/>
      <c r="AD90" s="183"/>
      <c r="AE90" s="183"/>
      <c r="AF90" s="183"/>
      <c r="AG90" s="183"/>
      <c r="AH90" s="183"/>
    </row>
    <row r="91" spans="2:34">
      <c r="B91" s="182"/>
      <c r="C91" s="182"/>
      <c r="D91" s="414"/>
      <c r="E91" s="415"/>
      <c r="F91" s="414"/>
      <c r="G91" s="182"/>
      <c r="H91" s="182"/>
      <c r="I91" s="182"/>
      <c r="J91" s="182"/>
      <c r="K91" s="182"/>
      <c r="L91" s="182"/>
      <c r="M91" s="182"/>
      <c r="N91" s="182"/>
      <c r="O91" s="182"/>
      <c r="P91" s="182"/>
      <c r="Q91" s="182"/>
      <c r="S91" s="183"/>
      <c r="T91" s="183"/>
      <c r="U91" s="183"/>
      <c r="V91" s="183"/>
      <c r="W91" s="417"/>
      <c r="X91" s="416"/>
      <c r="Y91" s="416"/>
      <c r="Z91" s="416"/>
      <c r="AA91" s="416"/>
      <c r="AB91" s="416"/>
      <c r="AC91" s="416"/>
      <c r="AD91" s="183"/>
      <c r="AE91" s="183"/>
      <c r="AF91" s="183"/>
      <c r="AG91" s="183"/>
      <c r="AH91" s="183"/>
    </row>
    <row r="92" spans="2:34" ht="18.75">
      <c r="B92" s="182"/>
      <c r="C92" s="961" t="s">
        <v>432</v>
      </c>
      <c r="D92" s="961"/>
      <c r="E92" s="421"/>
      <c r="F92" s="961" t="s">
        <v>435</v>
      </c>
      <c r="G92" s="961"/>
      <c r="H92" s="182"/>
      <c r="I92" s="961" t="s">
        <v>433</v>
      </c>
      <c r="J92" s="961"/>
      <c r="K92" s="421"/>
      <c r="L92" s="967" t="s">
        <v>31</v>
      </c>
      <c r="M92" s="968"/>
      <c r="N92" s="421"/>
      <c r="O92" s="967" t="s">
        <v>434</v>
      </c>
      <c r="P92" s="968"/>
      <c r="Q92" s="182"/>
      <c r="S92" s="183"/>
      <c r="T92" s="962" t="s">
        <v>432</v>
      </c>
      <c r="U92" s="962"/>
      <c r="V92" s="418"/>
      <c r="W92" s="962" t="s">
        <v>435</v>
      </c>
      <c r="X92" s="962"/>
      <c r="Y92" s="183"/>
      <c r="Z92" s="962" t="s">
        <v>433</v>
      </c>
      <c r="AA92" s="962"/>
      <c r="AB92" s="418"/>
      <c r="AC92" s="969" t="s">
        <v>31</v>
      </c>
      <c r="AD92" s="970"/>
      <c r="AE92" s="418"/>
      <c r="AF92" s="969" t="s">
        <v>434</v>
      </c>
      <c r="AG92" s="970"/>
      <c r="AH92" s="183"/>
    </row>
    <row r="93" spans="2:34">
      <c r="B93" s="182"/>
      <c r="C93" s="422" t="s">
        <v>423</v>
      </c>
      <c r="D93" s="422" t="s">
        <v>6</v>
      </c>
      <c r="E93" s="423"/>
      <c r="F93" s="422" t="s">
        <v>423</v>
      </c>
      <c r="G93" s="422" t="s">
        <v>6</v>
      </c>
      <c r="H93" s="182"/>
      <c r="I93" s="422" t="s">
        <v>423</v>
      </c>
      <c r="J93" s="422" t="s">
        <v>6</v>
      </c>
      <c r="K93" s="423"/>
      <c r="L93" s="422" t="s">
        <v>423</v>
      </c>
      <c r="M93" s="422" t="s">
        <v>6</v>
      </c>
      <c r="N93" s="423"/>
      <c r="O93" s="422" t="s">
        <v>423</v>
      </c>
      <c r="P93" s="422" t="s">
        <v>6</v>
      </c>
      <c r="Q93" s="182"/>
      <c r="S93" s="183"/>
      <c r="T93" s="419" t="s">
        <v>423</v>
      </c>
      <c r="U93" s="419" t="s">
        <v>6</v>
      </c>
      <c r="V93" s="420"/>
      <c r="W93" s="419" t="s">
        <v>423</v>
      </c>
      <c r="X93" s="419" t="s">
        <v>6</v>
      </c>
      <c r="Y93" s="183"/>
      <c r="Z93" s="419" t="s">
        <v>423</v>
      </c>
      <c r="AA93" s="419" t="s">
        <v>6</v>
      </c>
      <c r="AB93" s="420"/>
      <c r="AC93" s="419" t="s">
        <v>423</v>
      </c>
      <c r="AD93" s="419" t="s">
        <v>6</v>
      </c>
      <c r="AE93" s="420"/>
      <c r="AF93" s="419" t="s">
        <v>423</v>
      </c>
      <c r="AG93" s="419" t="s">
        <v>6</v>
      </c>
      <c r="AH93" s="183"/>
    </row>
    <row r="94" spans="2:34">
      <c r="B94" s="182"/>
      <c r="C94" s="435">
        <v>0</v>
      </c>
      <c r="D94" s="435">
        <f>IF(C94&lt;='B1b '!$G$35,'B1b '!$H$35,IF(AND(C94&lt;='B1b '!$G$34,C94&gt;'B1b '!$G$35),0+(('B1b '!$H$35-'B1b '!$H$34)/('B1b '!$G$35-'B1b '!$G$34))*(C94-'B1b '!$G$34),0))</f>
        <v>25</v>
      </c>
      <c r="E94" s="611"/>
      <c r="F94" s="435">
        <v>0</v>
      </c>
      <c r="G94" s="435">
        <f>IF(F94&lt;='B1b '!$G$37,'B1b '!$H$37,IF(AND(F94&lt;='B1b '!$G$36,F94&gt;'B1b '!$G$37),0+(('B1b '!$H$37-'B1b '!$H$36)/('B1b '!$G$37-'B1b '!$G$36))*(F94-'B1b '!$G$36),0))</f>
        <v>40</v>
      </c>
      <c r="H94" s="415"/>
      <c r="I94" s="435">
        <v>0</v>
      </c>
      <c r="J94" s="435">
        <f>IF(I94&lt;='B1b '!$G$39,'B1b '!$H$39,IF(AND(I94&lt;='B1b '!$G$38,I94&gt;'B1b '!$G$39),0+(('B1b '!$H$39-'B1b '!$H$38)/('B1b '!$G$39-'B1b '!$G$38))*(I94-'B1b '!$G$38),0))</f>
        <v>30</v>
      </c>
      <c r="K94" s="611"/>
      <c r="L94" s="435">
        <v>0</v>
      </c>
      <c r="M94" s="435">
        <f>IF(L94&lt;='B1b '!$G$41,'B1b '!$H$41,IF(AND(L94&lt;='B1b '!$G$40,L94&gt;'B1b '!$G$41),0+(('B1b '!$H$41-'B1b '!$H$40)/('B1b '!$G$41-'B1b '!$G$40))*(L94-'B1b '!$G$40),0))</f>
        <v>120</v>
      </c>
      <c r="N94" s="611"/>
      <c r="O94" s="435">
        <v>0</v>
      </c>
      <c r="P94" s="435">
        <f>IF(O94&lt;='B1b '!$G$43,'B1b '!$H$43,IF(AND(O94&lt;='B1b '!$G$42,O94&gt;'B1b '!$G$43),0+(('B1b '!$H$43-'B1b '!$H$42)/('B1b '!$G$43-'B1b '!$G$42))*(O94-'B1b '!$G$42),0))</f>
        <v>135</v>
      </c>
      <c r="Q94" s="415"/>
      <c r="R94" s="434"/>
      <c r="S94" s="612"/>
      <c r="T94" s="436">
        <v>0</v>
      </c>
      <c r="U94" s="436">
        <f>IF(T94&lt;='B1b '!$L$35,'B1b '!$M$35,IF(AND(T94&lt;='B1b '!$L$34,T94&gt;'B1b '!$L$35),0+(('B1b '!$M$35-'B1b '!$M$34)/('B1b '!$L$35-'B1b '!$L$34))*(T94-'B1b '!$L$34),0))</f>
        <v>25</v>
      </c>
      <c r="V94" s="613"/>
      <c r="W94" s="436">
        <v>0</v>
      </c>
      <c r="X94" s="436">
        <f>IF(W94&lt;='B1b '!$L$37,'B1b '!$M$37,IF(AND(W94&lt;='B1b '!$L$36,W94&gt;'B1b '!$L$37),0+(('B1b '!$M$37-'B1b '!$M$36)/('B1b '!$L$37-'B1b '!$L$36))*(W94-'B1b '!$L$36),0))</f>
        <v>40</v>
      </c>
      <c r="Y94" s="612"/>
      <c r="Z94" s="436">
        <v>0</v>
      </c>
      <c r="AA94" s="436">
        <f>IF(Z94&lt;='B1b '!$L$39,'B1b '!$M$39,IF(AND(Z94&lt;='B1b '!$L$38,Z94&gt;'B1b '!$L$39),0+(('B1b '!$M$39-'B1b '!$M$38)/('B1b '!$L$39-'B1b '!$L$38))*(Z94-'B1b '!$L$38),0))</f>
        <v>30</v>
      </c>
      <c r="AB94" s="613"/>
      <c r="AC94" s="436">
        <v>0</v>
      </c>
      <c r="AD94" s="436">
        <f>IF(AC94&lt;='B1b '!$L$41,'B1b '!$M$41,IF(AND(AC94&lt;='B1b '!$L$40,AC94&gt;'B1b '!$L$41),0+(('B1b '!$M$41-'B1b '!$M$40)/('B1b '!$L$41-'B1b '!$L$40))*(AC94-'B1b '!$L$40),0))</f>
        <v>120</v>
      </c>
      <c r="AE94" s="613"/>
      <c r="AF94" s="436">
        <v>0</v>
      </c>
      <c r="AG94" s="436">
        <f>IF(AF94&lt;='B1b '!$L$43,'B1b '!$M$43,IF(AND(AF94&lt;='B1b '!$L$42,AF94&gt;'B1b '!$L$43),0+(('B1b '!$M$43-'B1b '!$M$42)/('B1b '!$L$43-'B1b '!$L$42))*(AF94-'B1b '!$L$42),0))</f>
        <v>135</v>
      </c>
      <c r="AH94" s="183"/>
    </row>
    <row r="95" spans="2:34">
      <c r="B95" s="182"/>
      <c r="C95" s="435">
        <v>1</v>
      </c>
      <c r="D95" s="435">
        <f>IF(C95&lt;='B1b '!$G$35,'B1b '!$H$35,IF(AND(C95&lt;='B1b '!$G$34,C95&gt;'B1b '!$G$35),0+(('B1b '!$H$35-'B1b '!$H$34)/('B1b '!$G$35-'B1b '!$G$34))*(C95-'B1b '!$G$34),0))</f>
        <v>25</v>
      </c>
      <c r="E95" s="611"/>
      <c r="F95" s="435">
        <v>1</v>
      </c>
      <c r="G95" s="435">
        <f>IF(F95&lt;='B1b '!$G$37,'B1b '!$H$37,IF(AND(F95&lt;='B1b '!$G$36,F95&gt;'B1b '!$G$37),0+(('B1b '!$H$37-'B1b '!$H$36)/('B1b '!$G$37-'B1b '!$G$36))*(F95-'B1b '!$G$36),0))</f>
        <v>40</v>
      </c>
      <c r="H95" s="415"/>
      <c r="I95" s="435">
        <v>1</v>
      </c>
      <c r="J95" s="435">
        <f>IF(I95&lt;='B1b '!$G$39,'B1b '!$H$39,IF(AND(I95&lt;='B1b '!$G$38,I95&gt;'B1b '!$G$39),0+(('B1b '!$H$39-'B1b '!$H$38)/('B1b '!$G$39-'B1b '!$G$38))*(I95-'B1b '!$G$38),0))</f>
        <v>30</v>
      </c>
      <c r="K95" s="611"/>
      <c r="L95" s="435">
        <v>1</v>
      </c>
      <c r="M95" s="435">
        <f>IF(L95&lt;='B1b '!$G$41,'B1b '!$H$41,IF(AND(L95&lt;='B1b '!$G$40,L95&gt;'B1b '!$G$41),0+(('B1b '!$H$41-'B1b '!$H$40)/('B1b '!$G$41-'B1b '!$G$40))*(L95-'B1b '!$G$40),0))</f>
        <v>120</v>
      </c>
      <c r="N95" s="611"/>
      <c r="O95" s="435">
        <v>1</v>
      </c>
      <c r="P95" s="435">
        <f>IF(O95&lt;='B1b '!$G$43,'B1b '!$H$43,IF(AND(O95&lt;='B1b '!$G$42,O95&gt;'B1b '!$G$43),0+(('B1b '!$H$43-'B1b '!$H$42)/('B1b '!$G$43-'B1b '!$G$42))*(O95-'B1b '!$G$42),0))</f>
        <v>127.5</v>
      </c>
      <c r="Q95" s="415"/>
      <c r="R95" s="434"/>
      <c r="S95" s="612"/>
      <c r="T95" s="436">
        <v>1</v>
      </c>
      <c r="U95" s="436">
        <f>IF(T95&lt;='B1b '!$L$35,'B1b '!$M$35,IF(AND(T95&lt;='B1b '!$L$34,T95&gt;'B1b '!$L$35),0+(('B1b '!$M$35-'B1b '!$M$34)/('B1b '!$L$35-'B1b '!$L$34))*(T95-'B1b '!$L$34),0))</f>
        <v>25</v>
      </c>
      <c r="V95" s="613"/>
      <c r="W95" s="436">
        <v>1</v>
      </c>
      <c r="X95" s="436">
        <f>IF(W95&lt;='B1b '!$L$37,'B1b '!$M$37,IF(AND(W95&lt;='B1b '!$L$36,W95&gt;'B1b '!$L$37),0+(('B1b '!$M$37-'B1b '!$M$36)/('B1b '!$L$37-'B1b '!$L$36))*(W95-'B1b '!$L$36),0))</f>
        <v>40</v>
      </c>
      <c r="Y95" s="612"/>
      <c r="Z95" s="436">
        <v>1</v>
      </c>
      <c r="AA95" s="436">
        <f>IF(Z95&lt;='B1b '!$L$39,'B1b '!$M$39,IF(AND(Z95&lt;='B1b '!$L$38,Z95&gt;'B1b '!$L$39),0+(('B1b '!$M$39-'B1b '!$M$38)/('B1b '!$L$39-'B1b '!$L$38))*(Z95-'B1b '!$L$38),0))</f>
        <v>30</v>
      </c>
      <c r="AB95" s="613"/>
      <c r="AC95" s="436">
        <v>1</v>
      </c>
      <c r="AD95" s="436">
        <f>IF(AC95&lt;='B1b '!$L$41,'B1b '!$M$41,IF(AND(AC95&lt;='B1b '!$L$40,AC95&gt;'B1b '!$L$41),0+(('B1b '!$M$41-'B1b '!$M$40)/('B1b '!$L$41-'B1b '!$L$40))*(AC95-'B1b '!$L$40),0))</f>
        <v>120</v>
      </c>
      <c r="AE95" s="613"/>
      <c r="AF95" s="436">
        <v>1</v>
      </c>
      <c r="AG95" s="436">
        <f>IF(AF95&lt;='B1b '!$L$43,'B1b '!$M$43,IF(AND(AF95&lt;='B1b '!$L$42,AF95&gt;'B1b '!$L$43),0+(('B1b '!$M$43-'B1b '!$M$42)/('B1b '!$L$43-'B1b '!$L$42))*(AF95-'B1b '!$L$42),0))</f>
        <v>129.375</v>
      </c>
      <c r="AH95" s="183"/>
    </row>
    <row r="96" spans="2:34">
      <c r="B96" s="182"/>
      <c r="C96" s="435">
        <v>2</v>
      </c>
      <c r="D96" s="435">
        <f>IF(C96&lt;='B1b '!$G$35,'B1b '!$H$35,IF(AND(C96&lt;='B1b '!$G$34,C96&gt;'B1b '!$G$35),0+(('B1b '!$H$35-'B1b '!$H$34)/('B1b '!$G$35-'B1b '!$G$34))*(C96-'B1b '!$G$34),0))</f>
        <v>25</v>
      </c>
      <c r="E96" s="611"/>
      <c r="F96" s="435">
        <v>2</v>
      </c>
      <c r="G96" s="435">
        <f>IF(F96&lt;='B1b '!$G$37,'B1b '!$H$37,IF(AND(F96&lt;='B1b '!$G$36,F96&gt;'B1b '!$G$37),0+(('B1b '!$H$37-'B1b '!$H$36)/('B1b '!$G$37-'B1b '!$G$36))*(F96-'B1b '!$G$36),0))</f>
        <v>40</v>
      </c>
      <c r="H96" s="415"/>
      <c r="I96" s="435">
        <v>2</v>
      </c>
      <c r="J96" s="435">
        <f>IF(I96&lt;='B1b '!$G$39,'B1b '!$H$39,IF(AND(I96&lt;='B1b '!$G$38,I96&gt;'B1b '!$G$39),0+(('B1b '!$H$39-'B1b '!$H$38)/('B1b '!$G$39-'B1b '!$G$38))*(I96-'B1b '!$G$38),0))</f>
        <v>30</v>
      </c>
      <c r="K96" s="611"/>
      <c r="L96" s="435">
        <v>2</v>
      </c>
      <c r="M96" s="435">
        <f>IF(L96&lt;='B1b '!$G$41,'B1b '!$H$41,IF(AND(L96&lt;='B1b '!$G$40,L96&gt;'B1b '!$G$41),0+(('B1b '!$H$41-'B1b '!$H$40)/('B1b '!$G$41-'B1b '!$G$40))*(L96-'B1b '!$G$40),0))</f>
        <v>120</v>
      </c>
      <c r="N96" s="611"/>
      <c r="O96" s="435">
        <v>2</v>
      </c>
      <c r="P96" s="435">
        <f>IF(O96&lt;='B1b '!$G$43,'B1b '!$H$43,IF(AND(O96&lt;='B1b '!$G$42,O96&gt;'B1b '!$G$43),0+(('B1b '!$H$43-'B1b '!$H$42)/('B1b '!$G$43-'B1b '!$G$42))*(O96-'B1b '!$G$42),0))</f>
        <v>120</v>
      </c>
      <c r="Q96" s="415"/>
      <c r="R96" s="434"/>
      <c r="S96" s="612"/>
      <c r="T96" s="436">
        <v>2</v>
      </c>
      <c r="U96" s="436">
        <f>IF(T96&lt;='B1b '!$L$35,'B1b '!$M$35,IF(AND(T96&lt;='B1b '!$L$34,T96&gt;'B1b '!$L$35),0+(('B1b '!$M$35-'B1b '!$M$34)/('B1b '!$L$35-'B1b '!$L$34))*(T96-'B1b '!$L$34),0))</f>
        <v>25</v>
      </c>
      <c r="V96" s="613"/>
      <c r="W96" s="436">
        <v>2</v>
      </c>
      <c r="X96" s="436">
        <f>IF(W96&lt;='B1b '!$L$37,'B1b '!$M$37,IF(AND(W96&lt;='B1b '!$L$36,W96&gt;'B1b '!$L$37),0+(('B1b '!$M$37-'B1b '!$M$36)/('B1b '!$L$37-'B1b '!$L$36))*(W96-'B1b '!$L$36),0))</f>
        <v>40</v>
      </c>
      <c r="Y96" s="612"/>
      <c r="Z96" s="436">
        <v>2</v>
      </c>
      <c r="AA96" s="436">
        <f>IF(Z96&lt;='B1b '!$L$39,'B1b '!$M$39,IF(AND(Z96&lt;='B1b '!$L$38,Z96&gt;'B1b '!$L$39),0+(('B1b '!$M$39-'B1b '!$M$38)/('B1b '!$L$39-'B1b '!$L$38))*(Z96-'B1b '!$L$38),0))</f>
        <v>30</v>
      </c>
      <c r="AB96" s="613"/>
      <c r="AC96" s="436">
        <v>2</v>
      </c>
      <c r="AD96" s="436">
        <f>IF(AC96&lt;='B1b '!$L$41,'B1b '!$M$41,IF(AND(AC96&lt;='B1b '!$L$40,AC96&gt;'B1b '!$L$41),0+(('B1b '!$M$41-'B1b '!$M$40)/('B1b '!$L$41-'B1b '!$L$40))*(AC96-'B1b '!$L$40),0))</f>
        <v>120</v>
      </c>
      <c r="AE96" s="613"/>
      <c r="AF96" s="436">
        <v>2</v>
      </c>
      <c r="AG96" s="436">
        <f>IF(AF96&lt;='B1b '!$L$43,'B1b '!$M$43,IF(AND(AF96&lt;='B1b '!$L$42,AF96&gt;'B1b '!$L$43),0+(('B1b '!$M$43-'B1b '!$M$42)/('B1b '!$L$43-'B1b '!$L$42))*(AF96-'B1b '!$L$42),0))</f>
        <v>123.75</v>
      </c>
      <c r="AH96" s="183"/>
    </row>
    <row r="97" spans="2:34">
      <c r="B97" s="182"/>
      <c r="C97" s="435">
        <v>3</v>
      </c>
      <c r="D97" s="435">
        <f>IF(C97&lt;='B1b '!$G$35,'B1b '!$H$35,IF(AND(C97&lt;='B1b '!$G$34,C97&gt;'B1b '!$G$35),0+(('B1b '!$H$35-'B1b '!$H$34)/('B1b '!$G$35-'B1b '!$G$34))*(C97-'B1b '!$G$34),0))</f>
        <v>25</v>
      </c>
      <c r="E97" s="611"/>
      <c r="F97" s="435">
        <v>3</v>
      </c>
      <c r="G97" s="435">
        <f>IF(F97&lt;='B1b '!$G$37,'B1b '!$H$37,IF(AND(F97&lt;='B1b '!$G$36,F97&gt;'B1b '!$G$37),0+(('B1b '!$H$37-'B1b '!$H$36)/('B1b '!$G$37-'B1b '!$G$36))*(F97-'B1b '!$G$36),0))</f>
        <v>40</v>
      </c>
      <c r="H97" s="415"/>
      <c r="I97" s="435">
        <v>3</v>
      </c>
      <c r="J97" s="435">
        <f>IF(I97&lt;='B1b '!$G$39,'B1b '!$H$39,IF(AND(I97&lt;='B1b '!$G$38,I97&gt;'B1b '!$G$39),0+(('B1b '!$H$39-'B1b '!$H$38)/('B1b '!$G$39-'B1b '!$G$38))*(I97-'B1b '!$G$38),0))</f>
        <v>30</v>
      </c>
      <c r="K97" s="611"/>
      <c r="L97" s="435">
        <v>3</v>
      </c>
      <c r="M97" s="435">
        <f>IF(L97&lt;='B1b '!$G$41,'B1b '!$H$41,IF(AND(L97&lt;='B1b '!$G$40,L97&gt;'B1b '!$G$41),0+(('B1b '!$H$41-'B1b '!$H$40)/('B1b '!$G$41-'B1b '!$G$40))*(L97-'B1b '!$G$40),0))</f>
        <v>120</v>
      </c>
      <c r="N97" s="611"/>
      <c r="O97" s="435">
        <v>3</v>
      </c>
      <c r="P97" s="435">
        <f>IF(O97&lt;='B1b '!$G$43,'B1b '!$H$43,IF(AND(O97&lt;='B1b '!$G$42,O97&gt;'B1b '!$G$43),0+(('B1b '!$H$43-'B1b '!$H$42)/('B1b '!$G$43-'B1b '!$G$42))*(O97-'B1b '!$G$42),0))</f>
        <v>112.5</v>
      </c>
      <c r="Q97" s="415"/>
      <c r="R97" s="434"/>
      <c r="S97" s="612"/>
      <c r="T97" s="436">
        <v>3</v>
      </c>
      <c r="U97" s="436">
        <f>IF(T97&lt;='B1b '!$L$35,'B1b '!$M$35,IF(AND(T97&lt;='B1b '!$L$34,T97&gt;'B1b '!$L$35),0+(('B1b '!$M$35-'B1b '!$M$34)/('B1b '!$L$35-'B1b '!$L$34))*(T97-'B1b '!$L$34),0))</f>
        <v>25</v>
      </c>
      <c r="V97" s="613"/>
      <c r="W97" s="436">
        <v>3</v>
      </c>
      <c r="X97" s="436">
        <f>IF(W97&lt;='B1b '!$L$37,'B1b '!$M$37,IF(AND(W97&lt;='B1b '!$L$36,W97&gt;'B1b '!$L$37),0+(('B1b '!$M$37-'B1b '!$M$36)/('B1b '!$L$37-'B1b '!$L$36))*(W97-'B1b '!$L$36),0))</f>
        <v>40</v>
      </c>
      <c r="Y97" s="612"/>
      <c r="Z97" s="436">
        <v>3</v>
      </c>
      <c r="AA97" s="436">
        <f>IF(Z97&lt;='B1b '!$L$39,'B1b '!$M$39,IF(AND(Z97&lt;='B1b '!$L$38,Z97&gt;'B1b '!$L$39),0+(('B1b '!$M$39-'B1b '!$M$38)/('B1b '!$L$39-'B1b '!$L$38))*(Z97-'B1b '!$L$38),0))</f>
        <v>30</v>
      </c>
      <c r="AB97" s="613"/>
      <c r="AC97" s="436">
        <v>3</v>
      </c>
      <c r="AD97" s="436">
        <f>IF(AC97&lt;='B1b '!$L$41,'B1b '!$M$41,IF(AND(AC97&lt;='B1b '!$L$40,AC97&gt;'B1b '!$L$41),0+(('B1b '!$M$41-'B1b '!$M$40)/('B1b '!$L$41-'B1b '!$L$40))*(AC97-'B1b '!$L$40),0))</f>
        <v>120</v>
      </c>
      <c r="AE97" s="613"/>
      <c r="AF97" s="436">
        <v>3</v>
      </c>
      <c r="AG97" s="436">
        <f>IF(AF97&lt;='B1b '!$L$43,'B1b '!$M$43,IF(AND(AF97&lt;='B1b '!$L$42,AF97&gt;'B1b '!$L$43),0+(('B1b '!$M$43-'B1b '!$M$42)/('B1b '!$L$43-'B1b '!$L$42))*(AF97-'B1b '!$L$42),0))</f>
        <v>118.125</v>
      </c>
      <c r="AH97" s="183"/>
    </row>
    <row r="98" spans="2:34">
      <c r="B98" s="182"/>
      <c r="C98" s="435">
        <v>4</v>
      </c>
      <c r="D98" s="435">
        <f>IF(C98&lt;='B1b '!$G$35,'B1b '!$H$35,IF(AND(C98&lt;='B1b '!$G$34,C98&gt;'B1b '!$G$35),0+(('B1b '!$H$35-'B1b '!$H$34)/('B1b '!$G$35-'B1b '!$G$34))*(C98-'B1b '!$G$34),0))</f>
        <v>25</v>
      </c>
      <c r="E98" s="611"/>
      <c r="F98" s="435">
        <v>4</v>
      </c>
      <c r="G98" s="435">
        <f>IF(F98&lt;='B1b '!$G$37,'B1b '!$H$37,IF(AND(F98&lt;='B1b '!$G$36,F98&gt;'B1b '!$G$37),0+(('B1b '!$H$37-'B1b '!$H$36)/('B1b '!$G$37-'B1b '!$G$36))*(F98-'B1b '!$G$36),0))</f>
        <v>40</v>
      </c>
      <c r="H98" s="415"/>
      <c r="I98" s="435">
        <v>4</v>
      </c>
      <c r="J98" s="435">
        <f>IF(I98&lt;='B1b '!$G$39,'B1b '!$H$39,IF(AND(I98&lt;='B1b '!$G$38,I98&gt;'B1b '!$G$39),0+(('B1b '!$H$39-'B1b '!$H$38)/('B1b '!$G$39-'B1b '!$G$38))*(I98-'B1b '!$G$38),0))</f>
        <v>30</v>
      </c>
      <c r="K98" s="611"/>
      <c r="L98" s="435">
        <v>4</v>
      </c>
      <c r="M98" s="435">
        <f>IF(L98&lt;='B1b '!$G$41,'B1b '!$H$41,IF(AND(L98&lt;='B1b '!$G$40,L98&gt;'B1b '!$G$41),0+(('B1b '!$H$41-'B1b '!$H$40)/('B1b '!$G$41-'B1b '!$G$40))*(L98-'B1b '!$G$40),0))</f>
        <v>120</v>
      </c>
      <c r="N98" s="611"/>
      <c r="O98" s="435">
        <v>4</v>
      </c>
      <c r="P98" s="435">
        <f>IF(O98&lt;='B1b '!$G$43,'B1b '!$H$43,IF(AND(O98&lt;='B1b '!$G$42,O98&gt;'B1b '!$G$43),0+(('B1b '!$H$43-'B1b '!$H$42)/('B1b '!$G$43-'B1b '!$G$42))*(O98-'B1b '!$G$42),0))</f>
        <v>105</v>
      </c>
      <c r="Q98" s="415"/>
      <c r="R98" s="434"/>
      <c r="S98" s="612"/>
      <c r="T98" s="436">
        <v>4</v>
      </c>
      <c r="U98" s="436">
        <f>IF(T98&lt;='B1b '!$L$35,'B1b '!$M$35,IF(AND(T98&lt;='B1b '!$L$34,T98&gt;'B1b '!$L$35),0+(('B1b '!$M$35-'B1b '!$M$34)/('B1b '!$L$35-'B1b '!$L$34))*(T98-'B1b '!$L$34),0))</f>
        <v>25</v>
      </c>
      <c r="V98" s="613"/>
      <c r="W98" s="436">
        <v>4</v>
      </c>
      <c r="X98" s="436">
        <f>IF(W98&lt;='B1b '!$L$37,'B1b '!$M$37,IF(AND(W98&lt;='B1b '!$L$36,W98&gt;'B1b '!$L$37),0+(('B1b '!$M$37-'B1b '!$M$36)/('B1b '!$L$37-'B1b '!$L$36))*(W98-'B1b '!$L$36),0))</f>
        <v>40</v>
      </c>
      <c r="Y98" s="612"/>
      <c r="Z98" s="436">
        <v>4</v>
      </c>
      <c r="AA98" s="436">
        <f>IF(Z98&lt;='B1b '!$L$39,'B1b '!$M$39,IF(AND(Z98&lt;='B1b '!$L$38,Z98&gt;'B1b '!$L$39),0+(('B1b '!$M$39-'B1b '!$M$38)/('B1b '!$L$39-'B1b '!$L$38))*(Z98-'B1b '!$L$38),0))</f>
        <v>30</v>
      </c>
      <c r="AB98" s="613"/>
      <c r="AC98" s="436">
        <v>4</v>
      </c>
      <c r="AD98" s="436">
        <f>IF(AC98&lt;='B1b '!$L$41,'B1b '!$M$41,IF(AND(AC98&lt;='B1b '!$L$40,AC98&gt;'B1b '!$L$41),0+(('B1b '!$M$41-'B1b '!$M$40)/('B1b '!$L$41-'B1b '!$L$40))*(AC98-'B1b '!$L$40),0))</f>
        <v>120</v>
      </c>
      <c r="AE98" s="613"/>
      <c r="AF98" s="436">
        <v>4</v>
      </c>
      <c r="AG98" s="436">
        <f>IF(AF98&lt;='B1b '!$L$43,'B1b '!$M$43,IF(AND(AF98&lt;='B1b '!$L$42,AF98&gt;'B1b '!$L$43),0+(('B1b '!$M$43-'B1b '!$M$42)/('B1b '!$L$43-'B1b '!$L$42))*(AF98-'B1b '!$L$42),0))</f>
        <v>112.5</v>
      </c>
      <c r="AH98" s="183"/>
    </row>
    <row r="99" spans="2:34">
      <c r="B99" s="182"/>
      <c r="C99" s="435">
        <v>5</v>
      </c>
      <c r="D99" s="435">
        <f>IF(C99&lt;='B1b '!$G$35,'B1b '!$H$35,IF(AND(C99&lt;='B1b '!$G$34,C99&gt;'B1b '!$G$35),0+(('B1b '!$H$35-'B1b '!$H$34)/('B1b '!$G$35-'B1b '!$G$34))*(C99-'B1b '!$G$34),0))</f>
        <v>25</v>
      </c>
      <c r="E99" s="611"/>
      <c r="F99" s="435">
        <v>5</v>
      </c>
      <c r="G99" s="435">
        <f>IF(F99&lt;='B1b '!$G$37,'B1b '!$H$37,IF(AND(F99&lt;='B1b '!$G$36,F99&gt;'B1b '!$G$37),0+(('B1b '!$H$37-'B1b '!$H$36)/('B1b '!$G$37-'B1b '!$G$36))*(F99-'B1b '!$G$36),0))</f>
        <v>40</v>
      </c>
      <c r="H99" s="415"/>
      <c r="I99" s="435">
        <v>5</v>
      </c>
      <c r="J99" s="435">
        <f>IF(I99&lt;='B1b '!$G$39,'B1b '!$H$39,IF(AND(I99&lt;='B1b '!$G$38,I99&gt;'B1b '!$G$39),0+(('B1b '!$H$39-'B1b '!$H$38)/('B1b '!$G$39-'B1b '!$G$38))*(I99-'B1b '!$G$38),0))</f>
        <v>30</v>
      </c>
      <c r="K99" s="611"/>
      <c r="L99" s="435">
        <v>5</v>
      </c>
      <c r="M99" s="435">
        <f>IF(L99&lt;='B1b '!$G$41,'B1b '!$H$41,IF(AND(L99&lt;='B1b '!$G$40,L99&gt;'B1b '!$G$41),0+(('B1b '!$H$41-'B1b '!$H$40)/('B1b '!$G$41-'B1b '!$G$40))*(L99-'B1b '!$G$40),0))</f>
        <v>120</v>
      </c>
      <c r="N99" s="611"/>
      <c r="O99" s="435">
        <v>5</v>
      </c>
      <c r="P99" s="435">
        <f>IF(O99&lt;='B1b '!$G$43,'B1b '!$H$43,IF(AND(O99&lt;='B1b '!$G$42,O99&gt;'B1b '!$G$43),0+(('B1b '!$H$43-'B1b '!$H$42)/('B1b '!$G$43-'B1b '!$G$42))*(O99-'B1b '!$G$42),0))</f>
        <v>97.5</v>
      </c>
      <c r="Q99" s="415"/>
      <c r="R99" s="434"/>
      <c r="S99" s="612"/>
      <c r="T99" s="436">
        <v>5</v>
      </c>
      <c r="U99" s="436">
        <f>IF(T99&lt;='B1b '!$L$35,'B1b '!$M$35,IF(AND(T99&lt;='B1b '!$L$34,T99&gt;'B1b '!$L$35),0+(('B1b '!$M$35-'B1b '!$M$34)/('B1b '!$L$35-'B1b '!$L$34))*(T99-'B1b '!$L$34),0))</f>
        <v>25</v>
      </c>
      <c r="V99" s="613"/>
      <c r="W99" s="436">
        <v>5</v>
      </c>
      <c r="X99" s="436">
        <f>IF(W99&lt;='B1b '!$L$37,'B1b '!$M$37,IF(AND(W99&lt;='B1b '!$L$36,W99&gt;'B1b '!$L$37),0+(('B1b '!$M$37-'B1b '!$M$36)/('B1b '!$L$37-'B1b '!$L$36))*(W99-'B1b '!$L$36),0))</f>
        <v>40</v>
      </c>
      <c r="Y99" s="612"/>
      <c r="Z99" s="436">
        <v>5</v>
      </c>
      <c r="AA99" s="436">
        <f>IF(Z99&lt;='B1b '!$L$39,'B1b '!$M$39,IF(AND(Z99&lt;='B1b '!$L$38,Z99&gt;'B1b '!$L$39),0+(('B1b '!$M$39-'B1b '!$M$38)/('B1b '!$L$39-'B1b '!$L$38))*(Z99-'B1b '!$L$38),0))</f>
        <v>30</v>
      </c>
      <c r="AB99" s="613"/>
      <c r="AC99" s="436">
        <v>5</v>
      </c>
      <c r="AD99" s="436">
        <f>IF(AC99&lt;='B1b '!$L$41,'B1b '!$M$41,IF(AND(AC99&lt;='B1b '!$L$40,AC99&gt;'B1b '!$L$41),0+(('B1b '!$M$41-'B1b '!$M$40)/('B1b '!$L$41-'B1b '!$L$40))*(AC99-'B1b '!$L$40),0))</f>
        <v>120</v>
      </c>
      <c r="AE99" s="613"/>
      <c r="AF99" s="436">
        <v>5</v>
      </c>
      <c r="AG99" s="436">
        <f>IF(AF99&lt;='B1b '!$L$43,'B1b '!$M$43,IF(AND(AF99&lt;='B1b '!$L$42,AF99&gt;'B1b '!$L$43),0+(('B1b '!$M$43-'B1b '!$M$42)/('B1b '!$L$43-'B1b '!$L$42))*(AF99-'B1b '!$L$42),0))</f>
        <v>106.875</v>
      </c>
      <c r="AH99" s="183"/>
    </row>
    <row r="100" spans="2:34">
      <c r="B100" s="182"/>
      <c r="C100" s="435">
        <v>6</v>
      </c>
      <c r="D100" s="435">
        <f>IF(C100&lt;='B1b '!$G$35,'B1b '!$H$35,IF(AND(C100&lt;='B1b '!$G$34,C100&gt;'B1b '!$G$35),0+(('B1b '!$H$35-'B1b '!$H$34)/('B1b '!$G$35-'B1b '!$G$34))*(C100-'B1b '!$G$34),0))</f>
        <v>25</v>
      </c>
      <c r="E100" s="611"/>
      <c r="F100" s="435">
        <v>6</v>
      </c>
      <c r="G100" s="435">
        <f>IF(F100&lt;='B1b '!$G$37,'B1b '!$H$37,IF(AND(F100&lt;='B1b '!$G$36,F100&gt;'B1b '!$G$37),0+(('B1b '!$H$37-'B1b '!$H$36)/('B1b '!$G$37-'B1b '!$G$36))*(F100-'B1b '!$G$36),0))</f>
        <v>40</v>
      </c>
      <c r="H100" s="415"/>
      <c r="I100" s="435">
        <v>6</v>
      </c>
      <c r="J100" s="435">
        <f>IF(I100&lt;='B1b '!$G$39,'B1b '!$H$39,IF(AND(I100&lt;='B1b '!$G$38,I100&gt;'B1b '!$G$39),0+(('B1b '!$H$39-'B1b '!$H$38)/('B1b '!$G$39-'B1b '!$G$38))*(I100-'B1b '!$G$38),0))</f>
        <v>30</v>
      </c>
      <c r="K100" s="611"/>
      <c r="L100" s="435">
        <v>6</v>
      </c>
      <c r="M100" s="435">
        <f>IF(L100&lt;='B1b '!$G$41,'B1b '!$H$41,IF(AND(L100&lt;='B1b '!$G$40,L100&gt;'B1b '!$G$41),0+(('B1b '!$H$41-'B1b '!$H$40)/('B1b '!$G$41-'B1b '!$G$40))*(L100-'B1b '!$G$40),0))</f>
        <v>120</v>
      </c>
      <c r="N100" s="611"/>
      <c r="O100" s="435">
        <v>6</v>
      </c>
      <c r="P100" s="435">
        <f>IF(O100&lt;='B1b '!$G$43,'B1b '!$H$43,IF(AND(O100&lt;='B1b '!$G$42,O100&gt;'B1b '!$G$43),0+(('B1b '!$H$43-'B1b '!$H$42)/('B1b '!$G$43-'B1b '!$G$42))*(O100-'B1b '!$G$42),0))</f>
        <v>90</v>
      </c>
      <c r="Q100" s="415"/>
      <c r="R100" s="434"/>
      <c r="S100" s="612"/>
      <c r="T100" s="436">
        <v>6</v>
      </c>
      <c r="U100" s="436">
        <f>IF(T100&lt;='B1b '!$L$35,'B1b '!$M$35,IF(AND(T100&lt;='B1b '!$L$34,T100&gt;'B1b '!$L$35),0+(('B1b '!$M$35-'B1b '!$M$34)/('B1b '!$L$35-'B1b '!$L$34))*(T100-'B1b '!$L$34),0))</f>
        <v>25</v>
      </c>
      <c r="V100" s="613"/>
      <c r="W100" s="436">
        <v>6</v>
      </c>
      <c r="X100" s="436">
        <f>IF(W100&lt;='B1b '!$L$37,'B1b '!$M$37,IF(AND(W100&lt;='B1b '!$L$36,W100&gt;'B1b '!$L$37),0+(('B1b '!$M$37-'B1b '!$M$36)/('B1b '!$L$37-'B1b '!$L$36))*(W100-'B1b '!$L$36),0))</f>
        <v>40</v>
      </c>
      <c r="Y100" s="612"/>
      <c r="Z100" s="436">
        <v>6</v>
      </c>
      <c r="AA100" s="436">
        <f>IF(Z100&lt;='B1b '!$L$39,'B1b '!$M$39,IF(AND(Z100&lt;='B1b '!$L$38,Z100&gt;'B1b '!$L$39),0+(('B1b '!$M$39-'B1b '!$M$38)/('B1b '!$L$39-'B1b '!$L$38))*(Z100-'B1b '!$L$38),0))</f>
        <v>30</v>
      </c>
      <c r="AB100" s="613"/>
      <c r="AC100" s="436">
        <v>6</v>
      </c>
      <c r="AD100" s="436">
        <f>IF(AC100&lt;='B1b '!$L$41,'B1b '!$M$41,IF(AND(AC100&lt;='B1b '!$L$40,AC100&gt;'B1b '!$L$41),0+(('B1b '!$M$41-'B1b '!$M$40)/('B1b '!$L$41-'B1b '!$L$40))*(AC100-'B1b '!$L$40),0))</f>
        <v>120</v>
      </c>
      <c r="AE100" s="613"/>
      <c r="AF100" s="436">
        <v>6</v>
      </c>
      <c r="AG100" s="436">
        <f>IF(AF100&lt;='B1b '!$L$43,'B1b '!$M$43,IF(AND(AF100&lt;='B1b '!$L$42,AF100&gt;'B1b '!$L$43),0+(('B1b '!$M$43-'B1b '!$M$42)/('B1b '!$L$43-'B1b '!$L$42))*(AF100-'B1b '!$L$42),0))</f>
        <v>101.25</v>
      </c>
      <c r="AH100" s="183"/>
    </row>
    <row r="101" spans="2:34">
      <c r="B101" s="182"/>
      <c r="C101" s="435">
        <v>7</v>
      </c>
      <c r="D101" s="435">
        <f>IF(C101&lt;='B1b '!$G$35,'B1b '!$H$35,IF(AND(C101&lt;='B1b '!$G$34,C101&gt;'B1b '!$G$35),0+(('B1b '!$H$35-'B1b '!$H$34)/('B1b '!$G$35-'B1b '!$G$34))*(C101-'B1b '!$G$34),0))</f>
        <v>25</v>
      </c>
      <c r="E101" s="611"/>
      <c r="F101" s="435">
        <v>7</v>
      </c>
      <c r="G101" s="435">
        <f>IF(F101&lt;='B1b '!$G$37,'B1b '!$H$37,IF(AND(F101&lt;='B1b '!$G$36,F101&gt;'B1b '!$G$37),0+(('B1b '!$H$37-'B1b '!$H$36)/('B1b '!$G$37-'B1b '!$G$36))*(F101-'B1b '!$G$36),0))</f>
        <v>40</v>
      </c>
      <c r="H101" s="415"/>
      <c r="I101" s="435">
        <v>7</v>
      </c>
      <c r="J101" s="435">
        <f>IF(I101&lt;='B1b '!$G$39,'B1b '!$H$39,IF(AND(I101&lt;='B1b '!$G$38,I101&gt;'B1b '!$G$39),0+(('B1b '!$H$39-'B1b '!$H$38)/('B1b '!$G$39-'B1b '!$G$38))*(I101-'B1b '!$G$38),0))</f>
        <v>30</v>
      </c>
      <c r="K101" s="611"/>
      <c r="L101" s="435">
        <v>7</v>
      </c>
      <c r="M101" s="435">
        <f>IF(L101&lt;='B1b '!$G$41,'B1b '!$H$41,IF(AND(L101&lt;='B1b '!$G$40,L101&gt;'B1b '!$G$41),0+(('B1b '!$H$41-'B1b '!$H$40)/('B1b '!$G$41-'B1b '!$G$40))*(L101-'B1b '!$G$40),0))</f>
        <v>120</v>
      </c>
      <c r="N101" s="611"/>
      <c r="O101" s="435">
        <v>7</v>
      </c>
      <c r="P101" s="435">
        <f>IF(O101&lt;='B1b '!$G$43,'B1b '!$H$43,IF(AND(O101&lt;='B1b '!$G$42,O101&gt;'B1b '!$G$43),0+(('B1b '!$H$43-'B1b '!$H$42)/('B1b '!$G$43-'B1b '!$G$42))*(O101-'B1b '!$G$42),0))</f>
        <v>82.5</v>
      </c>
      <c r="Q101" s="415"/>
      <c r="R101" s="434"/>
      <c r="S101" s="612"/>
      <c r="T101" s="436">
        <v>7</v>
      </c>
      <c r="U101" s="436">
        <f>IF(T101&lt;='B1b '!$L$35,'B1b '!$M$35,IF(AND(T101&lt;='B1b '!$L$34,T101&gt;'B1b '!$L$35),0+(('B1b '!$M$35-'B1b '!$M$34)/('B1b '!$L$35-'B1b '!$L$34))*(T101-'B1b '!$L$34),0))</f>
        <v>25</v>
      </c>
      <c r="V101" s="613"/>
      <c r="W101" s="436">
        <v>7</v>
      </c>
      <c r="X101" s="436">
        <f>IF(W101&lt;='B1b '!$L$37,'B1b '!$M$37,IF(AND(W101&lt;='B1b '!$L$36,W101&gt;'B1b '!$L$37),0+(('B1b '!$M$37-'B1b '!$M$36)/('B1b '!$L$37-'B1b '!$L$36))*(W101-'B1b '!$L$36),0))</f>
        <v>40</v>
      </c>
      <c r="Y101" s="612"/>
      <c r="Z101" s="436">
        <v>7</v>
      </c>
      <c r="AA101" s="436">
        <f>IF(Z101&lt;='B1b '!$L$39,'B1b '!$M$39,IF(AND(Z101&lt;='B1b '!$L$38,Z101&gt;'B1b '!$L$39),0+(('B1b '!$M$39-'B1b '!$M$38)/('B1b '!$L$39-'B1b '!$L$38))*(Z101-'B1b '!$L$38),0))</f>
        <v>30</v>
      </c>
      <c r="AB101" s="613"/>
      <c r="AC101" s="436">
        <v>7</v>
      </c>
      <c r="AD101" s="436">
        <f>IF(AC101&lt;='B1b '!$L$41,'B1b '!$M$41,IF(AND(AC101&lt;='B1b '!$L$40,AC101&gt;'B1b '!$L$41),0+(('B1b '!$M$41-'B1b '!$M$40)/('B1b '!$L$41-'B1b '!$L$40))*(AC101-'B1b '!$L$40),0))</f>
        <v>120</v>
      </c>
      <c r="AE101" s="613"/>
      <c r="AF101" s="436">
        <v>7</v>
      </c>
      <c r="AG101" s="436">
        <f>IF(AF101&lt;='B1b '!$L$43,'B1b '!$M$43,IF(AND(AF101&lt;='B1b '!$L$42,AF101&gt;'B1b '!$L$43),0+(('B1b '!$M$43-'B1b '!$M$42)/('B1b '!$L$43-'B1b '!$L$42))*(AF101-'B1b '!$L$42),0))</f>
        <v>95.625</v>
      </c>
      <c r="AH101" s="183"/>
    </row>
    <row r="102" spans="2:34">
      <c r="B102" s="182"/>
      <c r="C102" s="435">
        <v>8</v>
      </c>
      <c r="D102" s="435">
        <f>IF(C102&lt;='B1b '!$G$35,'B1b '!$H$35,IF(AND(C102&lt;='B1b '!$G$34,C102&gt;'B1b '!$G$35),0+(('B1b '!$H$35-'B1b '!$H$34)/('B1b '!$G$35-'B1b '!$G$34))*(C102-'B1b '!$G$34),0))</f>
        <v>25</v>
      </c>
      <c r="E102" s="611"/>
      <c r="F102" s="435">
        <v>8</v>
      </c>
      <c r="G102" s="435">
        <f>IF(F102&lt;='B1b '!$G$37,'B1b '!$H$37,IF(AND(F102&lt;='B1b '!$G$36,F102&gt;'B1b '!$G$37),0+(('B1b '!$H$37-'B1b '!$H$36)/('B1b '!$G$37-'B1b '!$G$36))*(F102-'B1b '!$G$36),0))</f>
        <v>40</v>
      </c>
      <c r="H102" s="415"/>
      <c r="I102" s="435">
        <v>8</v>
      </c>
      <c r="J102" s="435">
        <f>IF(I102&lt;='B1b '!$G$39,'B1b '!$H$39,IF(AND(I102&lt;='B1b '!$G$38,I102&gt;'B1b '!$G$39),0+(('B1b '!$H$39-'B1b '!$H$38)/('B1b '!$G$39-'B1b '!$G$38))*(I102-'B1b '!$G$38),0))</f>
        <v>30</v>
      </c>
      <c r="K102" s="611"/>
      <c r="L102" s="435">
        <v>8</v>
      </c>
      <c r="M102" s="435">
        <f>IF(L102&lt;='B1b '!$G$41,'B1b '!$H$41,IF(AND(L102&lt;='B1b '!$G$40,L102&gt;'B1b '!$G$41),0+(('B1b '!$H$41-'B1b '!$H$40)/('B1b '!$G$41-'B1b '!$G$40))*(L102-'B1b '!$G$40),0))</f>
        <v>120</v>
      </c>
      <c r="N102" s="611"/>
      <c r="O102" s="435">
        <v>8</v>
      </c>
      <c r="P102" s="435">
        <f>IF(O102&lt;='B1b '!$G$43,'B1b '!$H$43,IF(AND(O102&lt;='B1b '!$G$42,O102&gt;'B1b '!$G$43),0+(('B1b '!$H$43-'B1b '!$H$42)/('B1b '!$G$43-'B1b '!$G$42))*(O102-'B1b '!$G$42),0))</f>
        <v>75</v>
      </c>
      <c r="Q102" s="415"/>
      <c r="R102" s="434"/>
      <c r="S102" s="612"/>
      <c r="T102" s="436">
        <v>8</v>
      </c>
      <c r="U102" s="436">
        <f>IF(T102&lt;='B1b '!$L$35,'B1b '!$M$35,IF(AND(T102&lt;='B1b '!$L$34,T102&gt;'B1b '!$L$35),0+(('B1b '!$M$35-'B1b '!$M$34)/('B1b '!$L$35-'B1b '!$L$34))*(T102-'B1b '!$L$34),0))</f>
        <v>25</v>
      </c>
      <c r="V102" s="613"/>
      <c r="W102" s="436">
        <v>8</v>
      </c>
      <c r="X102" s="436">
        <f>IF(W102&lt;='B1b '!$L$37,'B1b '!$M$37,IF(AND(W102&lt;='B1b '!$L$36,W102&gt;'B1b '!$L$37),0+(('B1b '!$M$37-'B1b '!$M$36)/('B1b '!$L$37-'B1b '!$L$36))*(W102-'B1b '!$L$36),0))</f>
        <v>40</v>
      </c>
      <c r="Y102" s="612"/>
      <c r="Z102" s="436">
        <v>8</v>
      </c>
      <c r="AA102" s="436">
        <f>IF(Z102&lt;='B1b '!$L$39,'B1b '!$M$39,IF(AND(Z102&lt;='B1b '!$L$38,Z102&gt;'B1b '!$L$39),0+(('B1b '!$M$39-'B1b '!$M$38)/('B1b '!$L$39-'B1b '!$L$38))*(Z102-'B1b '!$L$38),0))</f>
        <v>30</v>
      </c>
      <c r="AB102" s="613"/>
      <c r="AC102" s="436">
        <v>8</v>
      </c>
      <c r="AD102" s="436">
        <f>IF(AC102&lt;='B1b '!$L$41,'B1b '!$M$41,IF(AND(AC102&lt;='B1b '!$L$40,AC102&gt;'B1b '!$L$41),0+(('B1b '!$M$41-'B1b '!$M$40)/('B1b '!$L$41-'B1b '!$L$40))*(AC102-'B1b '!$L$40),0))</f>
        <v>120</v>
      </c>
      <c r="AE102" s="613"/>
      <c r="AF102" s="436">
        <v>8</v>
      </c>
      <c r="AG102" s="436">
        <f>IF(AF102&lt;='B1b '!$L$43,'B1b '!$M$43,IF(AND(AF102&lt;='B1b '!$L$42,AF102&gt;'B1b '!$L$43),0+(('B1b '!$M$43-'B1b '!$M$42)/('B1b '!$L$43-'B1b '!$L$42))*(AF102-'B1b '!$L$42),0))</f>
        <v>90</v>
      </c>
      <c r="AH102" s="183"/>
    </row>
    <row r="103" spans="2:34">
      <c r="B103" s="182"/>
      <c r="C103" s="435">
        <v>9</v>
      </c>
      <c r="D103" s="435">
        <f>IF(C103&lt;='B1b '!$G$35,'B1b '!$H$35,IF(AND(C103&lt;='B1b '!$G$34,C103&gt;'B1b '!$G$35),0+(('B1b '!$H$35-'B1b '!$H$34)/('B1b '!$G$35-'B1b '!$G$34))*(C103-'B1b '!$G$34),0))</f>
        <v>25</v>
      </c>
      <c r="E103" s="611"/>
      <c r="F103" s="435">
        <v>9</v>
      </c>
      <c r="G103" s="435">
        <f>IF(F103&lt;='B1b '!$G$37,'B1b '!$H$37,IF(AND(F103&lt;='B1b '!$G$36,F103&gt;'B1b '!$G$37),0+(('B1b '!$H$37-'B1b '!$H$36)/('B1b '!$G$37-'B1b '!$G$36))*(F103-'B1b '!$G$36),0))</f>
        <v>40</v>
      </c>
      <c r="H103" s="415"/>
      <c r="I103" s="435">
        <v>9</v>
      </c>
      <c r="J103" s="435">
        <f>IF(I103&lt;='B1b '!$G$39,'B1b '!$H$39,IF(AND(I103&lt;='B1b '!$G$38,I103&gt;'B1b '!$G$39),0+(('B1b '!$H$39-'B1b '!$H$38)/('B1b '!$G$39-'B1b '!$G$38))*(I103-'B1b '!$G$38),0))</f>
        <v>30</v>
      </c>
      <c r="K103" s="611"/>
      <c r="L103" s="435">
        <v>9</v>
      </c>
      <c r="M103" s="435">
        <f>IF(L103&lt;='B1b '!$G$41,'B1b '!$H$41,IF(AND(L103&lt;='B1b '!$G$40,L103&gt;'B1b '!$G$41),0+(('B1b '!$H$41-'B1b '!$H$40)/('B1b '!$G$41-'B1b '!$G$40))*(L103-'B1b '!$G$40),0))</f>
        <v>120</v>
      </c>
      <c r="N103" s="611"/>
      <c r="O103" s="435">
        <v>9</v>
      </c>
      <c r="P103" s="435">
        <f>IF(O103&lt;='B1b '!$G$43,'B1b '!$H$43,IF(AND(O103&lt;='B1b '!$G$42,O103&gt;'B1b '!$G$43),0+(('B1b '!$H$43-'B1b '!$H$42)/('B1b '!$G$43-'B1b '!$G$42))*(O103-'B1b '!$G$42),0))</f>
        <v>67.5</v>
      </c>
      <c r="Q103" s="415"/>
      <c r="R103" s="434"/>
      <c r="S103" s="612"/>
      <c r="T103" s="436">
        <v>9</v>
      </c>
      <c r="U103" s="436">
        <f>IF(T103&lt;='B1b '!$L$35,'B1b '!$M$35,IF(AND(T103&lt;='B1b '!$L$34,T103&gt;'B1b '!$L$35),0+(('B1b '!$M$35-'B1b '!$M$34)/('B1b '!$L$35-'B1b '!$L$34))*(T103-'B1b '!$L$34),0))</f>
        <v>25</v>
      </c>
      <c r="V103" s="613"/>
      <c r="W103" s="436">
        <v>9</v>
      </c>
      <c r="X103" s="436">
        <f>IF(W103&lt;='B1b '!$L$37,'B1b '!$M$37,IF(AND(W103&lt;='B1b '!$L$36,W103&gt;'B1b '!$L$37),0+(('B1b '!$M$37-'B1b '!$M$36)/('B1b '!$L$37-'B1b '!$L$36))*(W103-'B1b '!$L$36),0))</f>
        <v>40</v>
      </c>
      <c r="Y103" s="612"/>
      <c r="Z103" s="436">
        <v>9</v>
      </c>
      <c r="AA103" s="436">
        <f>IF(Z103&lt;='B1b '!$L$39,'B1b '!$M$39,IF(AND(Z103&lt;='B1b '!$L$38,Z103&gt;'B1b '!$L$39),0+(('B1b '!$M$39-'B1b '!$M$38)/('B1b '!$L$39-'B1b '!$L$38))*(Z103-'B1b '!$L$38),0))</f>
        <v>30</v>
      </c>
      <c r="AB103" s="613"/>
      <c r="AC103" s="436">
        <v>9</v>
      </c>
      <c r="AD103" s="436">
        <f>IF(AC103&lt;='B1b '!$L$41,'B1b '!$M$41,IF(AND(AC103&lt;='B1b '!$L$40,AC103&gt;'B1b '!$L$41),0+(('B1b '!$M$41-'B1b '!$M$40)/('B1b '!$L$41-'B1b '!$L$40))*(AC103-'B1b '!$L$40),0))</f>
        <v>120</v>
      </c>
      <c r="AE103" s="613"/>
      <c r="AF103" s="436">
        <v>9</v>
      </c>
      <c r="AG103" s="436">
        <f>IF(AF103&lt;='B1b '!$L$43,'B1b '!$M$43,IF(AND(AF103&lt;='B1b '!$L$42,AF103&gt;'B1b '!$L$43),0+(('B1b '!$M$43-'B1b '!$M$42)/('B1b '!$L$43-'B1b '!$L$42))*(AF103-'B1b '!$L$42),0))</f>
        <v>84.375</v>
      </c>
      <c r="AH103" s="183"/>
    </row>
    <row r="104" spans="2:34">
      <c r="B104" s="182"/>
      <c r="C104" s="435">
        <v>10</v>
      </c>
      <c r="D104" s="435">
        <f>IF(C104&lt;='B1b '!$G$35,'B1b '!$H$35,IF(AND(C104&lt;='B1b '!$G$34,C104&gt;'B1b '!$G$35),0+(('B1b '!$H$35-'B1b '!$H$34)/('B1b '!$G$35-'B1b '!$G$34))*(C104-'B1b '!$G$34),0))</f>
        <v>25</v>
      </c>
      <c r="E104" s="611"/>
      <c r="F104" s="435">
        <v>10</v>
      </c>
      <c r="G104" s="435">
        <f>IF(F104&lt;='B1b '!$G$37,'B1b '!$H$37,IF(AND(F104&lt;='B1b '!$G$36,F104&gt;'B1b '!$G$37),0+(('B1b '!$H$37-'B1b '!$H$36)/('B1b '!$G$37-'B1b '!$G$36))*(F104-'B1b '!$G$36),0))</f>
        <v>40</v>
      </c>
      <c r="H104" s="415"/>
      <c r="I104" s="435">
        <v>10</v>
      </c>
      <c r="J104" s="435">
        <f>IF(I104&lt;='B1b '!$G$39,'B1b '!$H$39,IF(AND(I104&lt;='B1b '!$G$38,I104&gt;'B1b '!$G$39),0+(('B1b '!$H$39-'B1b '!$H$38)/('B1b '!$G$39-'B1b '!$G$38))*(I104-'B1b '!$G$38),0))</f>
        <v>30</v>
      </c>
      <c r="K104" s="611"/>
      <c r="L104" s="435">
        <v>10</v>
      </c>
      <c r="M104" s="435">
        <f>IF(L104&lt;='B1b '!$G$41,'B1b '!$H$41,IF(AND(L104&lt;='B1b '!$G$40,L104&gt;'B1b '!$G$41),0+(('B1b '!$H$41-'B1b '!$H$40)/('B1b '!$G$41-'B1b '!$G$40))*(L104-'B1b '!$G$40),0))</f>
        <v>120</v>
      </c>
      <c r="N104" s="611"/>
      <c r="O104" s="435">
        <v>10</v>
      </c>
      <c r="P104" s="435">
        <f>IF(O104&lt;='B1b '!$G$43,'B1b '!$H$43,IF(AND(O104&lt;='B1b '!$G$42,O104&gt;'B1b '!$G$43),0+(('B1b '!$H$43-'B1b '!$H$42)/('B1b '!$G$43-'B1b '!$G$42))*(O104-'B1b '!$G$42),0))</f>
        <v>60</v>
      </c>
      <c r="Q104" s="415"/>
      <c r="R104" s="434"/>
      <c r="S104" s="612"/>
      <c r="T104" s="436">
        <v>10</v>
      </c>
      <c r="U104" s="436">
        <f>IF(T104&lt;='B1b '!$L$35,'B1b '!$M$35,IF(AND(T104&lt;='B1b '!$L$34,T104&gt;'B1b '!$L$35),0+(('B1b '!$M$35-'B1b '!$M$34)/('B1b '!$L$35-'B1b '!$L$34))*(T104-'B1b '!$L$34),0))</f>
        <v>25</v>
      </c>
      <c r="V104" s="613"/>
      <c r="W104" s="436">
        <v>10</v>
      </c>
      <c r="X104" s="436">
        <f>IF(W104&lt;='B1b '!$L$37,'B1b '!$M$37,IF(AND(W104&lt;='B1b '!$L$36,W104&gt;'B1b '!$L$37),0+(('B1b '!$M$37-'B1b '!$M$36)/('B1b '!$L$37-'B1b '!$L$36))*(W104-'B1b '!$L$36),0))</f>
        <v>40</v>
      </c>
      <c r="Y104" s="612"/>
      <c r="Z104" s="436">
        <v>10</v>
      </c>
      <c r="AA104" s="436">
        <f>IF(Z104&lt;='B1b '!$L$39,'B1b '!$M$39,IF(AND(Z104&lt;='B1b '!$L$38,Z104&gt;'B1b '!$L$39),0+(('B1b '!$M$39-'B1b '!$M$38)/('B1b '!$L$39-'B1b '!$L$38))*(Z104-'B1b '!$L$38),0))</f>
        <v>30</v>
      </c>
      <c r="AB104" s="613"/>
      <c r="AC104" s="436">
        <v>10</v>
      </c>
      <c r="AD104" s="436">
        <f>IF(AC104&lt;='B1b '!$L$41,'B1b '!$M$41,IF(AND(AC104&lt;='B1b '!$L$40,AC104&gt;'B1b '!$L$41),0+(('B1b '!$M$41-'B1b '!$M$40)/('B1b '!$L$41-'B1b '!$L$40))*(AC104-'B1b '!$L$40),0))</f>
        <v>120</v>
      </c>
      <c r="AE104" s="613"/>
      <c r="AF104" s="436">
        <v>10</v>
      </c>
      <c r="AG104" s="436">
        <f>IF(AF104&lt;='B1b '!$L$43,'B1b '!$M$43,IF(AND(AF104&lt;='B1b '!$L$42,AF104&gt;'B1b '!$L$43),0+(('B1b '!$M$43-'B1b '!$M$42)/('B1b '!$L$43-'B1b '!$L$42))*(AF104-'B1b '!$L$42),0))</f>
        <v>78.75</v>
      </c>
      <c r="AH104" s="183"/>
    </row>
    <row r="105" spans="2:34">
      <c r="B105" s="182"/>
      <c r="C105" s="435">
        <v>11</v>
      </c>
      <c r="D105" s="435">
        <f>IF(C105&lt;='B1b '!$G$35,'B1b '!$H$35,IF(AND(C105&lt;='B1b '!$G$34,C105&gt;'B1b '!$G$35),0+(('B1b '!$H$35-'B1b '!$H$34)/('B1b '!$G$35-'B1b '!$G$34))*(C105-'B1b '!$G$34),0))</f>
        <v>24.404761904761905</v>
      </c>
      <c r="E105" s="611"/>
      <c r="F105" s="435">
        <v>11</v>
      </c>
      <c r="G105" s="435">
        <f>IF(F105&lt;='B1b '!$G$37,'B1b '!$H$37,IF(AND(F105&lt;='B1b '!$G$36,F105&gt;'B1b '!$G$37),0+(('B1b '!$H$37-'B1b '!$H$36)/('B1b '!$G$37-'B1b '!$G$36))*(F105-'B1b '!$G$36),0))</f>
        <v>40</v>
      </c>
      <c r="H105" s="415"/>
      <c r="I105" s="435">
        <v>11</v>
      </c>
      <c r="J105" s="435">
        <f>IF(I105&lt;='B1b '!$G$39,'B1b '!$H$39,IF(AND(I105&lt;='B1b '!$G$38,I105&gt;'B1b '!$G$39),0+(('B1b '!$H$39-'B1b '!$H$38)/('B1b '!$G$39-'B1b '!$G$38))*(I105-'B1b '!$G$38),0))</f>
        <v>30</v>
      </c>
      <c r="K105" s="611"/>
      <c r="L105" s="435">
        <v>11</v>
      </c>
      <c r="M105" s="435">
        <f>IF(L105&lt;='B1b '!$G$41,'B1b '!$H$41,IF(AND(L105&lt;='B1b '!$G$40,L105&gt;'B1b '!$G$41),0+(('B1b '!$H$41-'B1b '!$H$40)/('B1b '!$G$41-'B1b '!$G$40))*(L105-'B1b '!$G$40),0))</f>
        <v>120</v>
      </c>
      <c r="N105" s="611"/>
      <c r="O105" s="435">
        <v>11</v>
      </c>
      <c r="P105" s="435">
        <f>IF(O105&lt;='B1b '!$G$43,'B1b '!$H$43,IF(AND(O105&lt;='B1b '!$G$42,O105&gt;'B1b '!$G$43),0+(('B1b '!$H$43-'B1b '!$H$42)/('B1b '!$G$43-'B1b '!$G$42))*(O105-'B1b '!$G$42),0))</f>
        <v>52.5</v>
      </c>
      <c r="Q105" s="415"/>
      <c r="R105" s="434"/>
      <c r="S105" s="612"/>
      <c r="T105" s="436">
        <v>11</v>
      </c>
      <c r="U105" s="436">
        <f>IF(T105&lt;='B1b '!$L$35,'B1b '!$M$35,IF(AND(T105&lt;='B1b '!$L$34,T105&gt;'B1b '!$L$35),0+(('B1b '!$M$35-'B1b '!$M$34)/('B1b '!$L$35-'B1b '!$L$34))*(T105-'B1b '!$L$34),0))</f>
        <v>25</v>
      </c>
      <c r="V105" s="613"/>
      <c r="W105" s="436">
        <v>11</v>
      </c>
      <c r="X105" s="436">
        <f>IF(W105&lt;='B1b '!$L$37,'B1b '!$M$37,IF(AND(W105&lt;='B1b '!$L$36,W105&gt;'B1b '!$L$37),0+(('B1b '!$M$37-'B1b '!$M$36)/('B1b '!$L$37-'B1b '!$L$36))*(W105-'B1b '!$L$36),0))</f>
        <v>40</v>
      </c>
      <c r="Y105" s="612"/>
      <c r="Z105" s="436">
        <v>11</v>
      </c>
      <c r="AA105" s="436">
        <f>IF(Z105&lt;='B1b '!$L$39,'B1b '!$M$39,IF(AND(Z105&lt;='B1b '!$L$38,Z105&gt;'B1b '!$L$39),0+(('B1b '!$M$39-'B1b '!$M$38)/('B1b '!$L$39-'B1b '!$L$38))*(Z105-'B1b '!$L$38),0))</f>
        <v>30</v>
      </c>
      <c r="AB105" s="613"/>
      <c r="AC105" s="436">
        <v>11</v>
      </c>
      <c r="AD105" s="436">
        <f>IF(AC105&lt;='B1b '!$L$41,'B1b '!$M$41,IF(AND(AC105&lt;='B1b '!$L$40,AC105&gt;'B1b '!$L$41),0+(('B1b '!$M$41-'B1b '!$M$40)/('B1b '!$L$41-'B1b '!$L$40))*(AC105-'B1b '!$L$40),0))</f>
        <v>120</v>
      </c>
      <c r="AE105" s="613"/>
      <c r="AF105" s="436">
        <v>11</v>
      </c>
      <c r="AG105" s="436">
        <f>IF(AF105&lt;='B1b '!$L$43,'B1b '!$M$43,IF(AND(AF105&lt;='B1b '!$L$42,AF105&gt;'B1b '!$L$43),0+(('B1b '!$M$43-'B1b '!$M$42)/('B1b '!$L$43-'B1b '!$L$42))*(AF105-'B1b '!$L$42),0))</f>
        <v>73.125</v>
      </c>
      <c r="AH105" s="183"/>
    </row>
    <row r="106" spans="2:34">
      <c r="B106" s="182"/>
      <c r="C106" s="435">
        <v>12</v>
      </c>
      <c r="D106" s="435">
        <f>IF(C106&lt;='B1b '!$G$35,'B1b '!$H$35,IF(AND(C106&lt;='B1b '!$G$34,C106&gt;'B1b '!$G$35),0+(('B1b '!$H$35-'B1b '!$H$34)/('B1b '!$G$35-'B1b '!$G$34))*(C106-'B1b '!$G$34),0))</f>
        <v>23.80952380952381</v>
      </c>
      <c r="E106" s="611"/>
      <c r="F106" s="435">
        <v>12</v>
      </c>
      <c r="G106" s="435">
        <f>IF(F106&lt;='B1b '!$G$37,'B1b '!$H$37,IF(AND(F106&lt;='B1b '!$G$36,F106&gt;'B1b '!$G$37),0+(('B1b '!$H$37-'B1b '!$H$36)/('B1b '!$G$37-'B1b '!$G$36))*(F106-'B1b '!$G$36),0))</f>
        <v>40</v>
      </c>
      <c r="H106" s="415"/>
      <c r="I106" s="435">
        <v>12</v>
      </c>
      <c r="J106" s="435">
        <f>IF(I106&lt;='B1b '!$G$39,'B1b '!$H$39,IF(AND(I106&lt;='B1b '!$G$38,I106&gt;'B1b '!$G$39),0+(('B1b '!$H$39-'B1b '!$H$38)/('B1b '!$G$39-'B1b '!$G$38))*(I106-'B1b '!$G$38),0))</f>
        <v>30</v>
      </c>
      <c r="K106" s="611"/>
      <c r="L106" s="435">
        <v>12</v>
      </c>
      <c r="M106" s="435">
        <f>IF(L106&lt;='B1b '!$G$41,'B1b '!$H$41,IF(AND(L106&lt;='B1b '!$G$40,L106&gt;'B1b '!$G$41),0+(('B1b '!$H$41-'B1b '!$H$40)/('B1b '!$G$41-'B1b '!$G$40))*(L106-'B1b '!$G$40),0))</f>
        <v>120</v>
      </c>
      <c r="N106" s="611"/>
      <c r="O106" s="435">
        <v>12</v>
      </c>
      <c r="P106" s="435">
        <f>IF(O106&lt;='B1b '!$G$43,'B1b '!$H$43,IF(AND(O106&lt;='B1b '!$G$42,O106&gt;'B1b '!$G$43),0+(('B1b '!$H$43-'B1b '!$H$42)/('B1b '!$G$43-'B1b '!$G$42))*(O106-'B1b '!$G$42),0))</f>
        <v>45</v>
      </c>
      <c r="Q106" s="415"/>
      <c r="R106" s="434"/>
      <c r="S106" s="612"/>
      <c r="T106" s="436">
        <v>12</v>
      </c>
      <c r="U106" s="436">
        <f>IF(T106&lt;='B1b '!$L$35,'B1b '!$M$35,IF(AND(T106&lt;='B1b '!$L$34,T106&gt;'B1b '!$L$35),0+(('B1b '!$M$35-'B1b '!$M$34)/('B1b '!$L$35-'B1b '!$L$34))*(T106-'B1b '!$L$34),0))</f>
        <v>25</v>
      </c>
      <c r="V106" s="613"/>
      <c r="W106" s="436">
        <v>12</v>
      </c>
      <c r="X106" s="436">
        <f>IF(W106&lt;='B1b '!$L$37,'B1b '!$M$37,IF(AND(W106&lt;='B1b '!$L$36,W106&gt;'B1b '!$L$37),0+(('B1b '!$M$37-'B1b '!$M$36)/('B1b '!$L$37-'B1b '!$L$36))*(W106-'B1b '!$L$36),0))</f>
        <v>40</v>
      </c>
      <c r="Y106" s="612"/>
      <c r="Z106" s="436">
        <v>12</v>
      </c>
      <c r="AA106" s="436">
        <f>IF(Z106&lt;='B1b '!$L$39,'B1b '!$M$39,IF(AND(Z106&lt;='B1b '!$L$38,Z106&gt;'B1b '!$L$39),0+(('B1b '!$M$39-'B1b '!$M$38)/('B1b '!$L$39-'B1b '!$L$38))*(Z106-'B1b '!$L$38),0))</f>
        <v>30</v>
      </c>
      <c r="AB106" s="613"/>
      <c r="AC106" s="436">
        <v>12</v>
      </c>
      <c r="AD106" s="436">
        <f>IF(AC106&lt;='B1b '!$L$41,'B1b '!$M$41,IF(AND(AC106&lt;='B1b '!$L$40,AC106&gt;'B1b '!$L$41),0+(('B1b '!$M$41-'B1b '!$M$40)/('B1b '!$L$41-'B1b '!$L$40))*(AC106-'B1b '!$L$40),0))</f>
        <v>120</v>
      </c>
      <c r="AE106" s="613"/>
      <c r="AF106" s="436">
        <v>12</v>
      </c>
      <c r="AG106" s="436">
        <f>IF(AF106&lt;='B1b '!$L$43,'B1b '!$M$43,IF(AND(AF106&lt;='B1b '!$L$42,AF106&gt;'B1b '!$L$43),0+(('B1b '!$M$43-'B1b '!$M$42)/('B1b '!$L$43-'B1b '!$L$42))*(AF106-'B1b '!$L$42),0))</f>
        <v>67.5</v>
      </c>
      <c r="AH106" s="183"/>
    </row>
    <row r="107" spans="2:34">
      <c r="B107" s="182"/>
      <c r="C107" s="435">
        <v>13</v>
      </c>
      <c r="D107" s="435">
        <f>IF(C107&lt;='B1b '!$G$35,'B1b '!$H$35,IF(AND(C107&lt;='B1b '!$G$34,C107&gt;'B1b '!$G$35),0+(('B1b '!$H$35-'B1b '!$H$34)/('B1b '!$G$35-'B1b '!$G$34))*(C107-'B1b '!$G$34),0))</f>
        <v>23.214285714285715</v>
      </c>
      <c r="E107" s="611"/>
      <c r="F107" s="435">
        <v>13</v>
      </c>
      <c r="G107" s="435">
        <f>IF(F107&lt;='B1b '!$G$37,'B1b '!$H$37,IF(AND(F107&lt;='B1b '!$G$36,F107&gt;'B1b '!$G$37),0+(('B1b '!$H$37-'B1b '!$H$36)/('B1b '!$G$37-'B1b '!$G$36))*(F107-'B1b '!$G$36),0))</f>
        <v>40</v>
      </c>
      <c r="H107" s="415"/>
      <c r="I107" s="435">
        <v>13</v>
      </c>
      <c r="J107" s="435">
        <f>IF(I107&lt;='B1b '!$G$39,'B1b '!$H$39,IF(AND(I107&lt;='B1b '!$G$38,I107&gt;'B1b '!$G$39),0+(('B1b '!$H$39-'B1b '!$H$38)/('B1b '!$G$39-'B1b '!$G$38))*(I107-'B1b '!$G$38),0))</f>
        <v>28.333333333333336</v>
      </c>
      <c r="K107" s="611"/>
      <c r="L107" s="435">
        <v>13</v>
      </c>
      <c r="M107" s="435">
        <f>IF(L107&lt;='B1b '!$G$41,'B1b '!$H$41,IF(AND(L107&lt;='B1b '!$G$40,L107&gt;'B1b '!$G$41),0+(('B1b '!$H$41-'B1b '!$H$40)/('B1b '!$G$41-'B1b '!$G$40))*(L107-'B1b '!$G$40),0))</f>
        <v>120</v>
      </c>
      <c r="N107" s="611"/>
      <c r="O107" s="435">
        <v>13</v>
      </c>
      <c r="P107" s="435">
        <f>IF(O107&lt;='B1b '!$G$43,'B1b '!$H$43,IF(AND(O107&lt;='B1b '!$G$42,O107&gt;'B1b '!$G$43),0+(('B1b '!$H$43-'B1b '!$H$42)/('B1b '!$G$43-'B1b '!$G$42))*(O107-'B1b '!$G$42),0))</f>
        <v>37.5</v>
      </c>
      <c r="Q107" s="415"/>
      <c r="R107" s="434"/>
      <c r="S107" s="612"/>
      <c r="T107" s="436">
        <v>13</v>
      </c>
      <c r="U107" s="436">
        <f>IF(T107&lt;='B1b '!$L$35,'B1b '!$M$35,IF(AND(T107&lt;='B1b '!$L$34,T107&gt;'B1b '!$L$35),0+(('B1b '!$M$35-'B1b '!$M$34)/('B1b '!$L$35-'B1b '!$L$34))*(T107-'B1b '!$L$34),0))</f>
        <v>25</v>
      </c>
      <c r="V107" s="613"/>
      <c r="W107" s="436">
        <v>13</v>
      </c>
      <c r="X107" s="436">
        <f>IF(W107&lt;='B1b '!$L$37,'B1b '!$M$37,IF(AND(W107&lt;='B1b '!$L$36,W107&gt;'B1b '!$L$37),0+(('B1b '!$M$37-'B1b '!$M$36)/('B1b '!$L$37-'B1b '!$L$36))*(W107-'B1b '!$L$36),0))</f>
        <v>40</v>
      </c>
      <c r="Y107" s="612"/>
      <c r="Z107" s="436">
        <v>13</v>
      </c>
      <c r="AA107" s="436">
        <f>IF(Z107&lt;='B1b '!$L$39,'B1b '!$M$39,IF(AND(Z107&lt;='B1b '!$L$38,Z107&gt;'B1b '!$L$39),0+(('B1b '!$M$39-'B1b '!$M$38)/('B1b '!$L$39-'B1b '!$L$38))*(Z107-'B1b '!$L$38),0))</f>
        <v>30</v>
      </c>
      <c r="AB107" s="613"/>
      <c r="AC107" s="436">
        <v>13</v>
      </c>
      <c r="AD107" s="436">
        <f>IF(AC107&lt;='B1b '!$L$41,'B1b '!$M$41,IF(AND(AC107&lt;='B1b '!$L$40,AC107&gt;'B1b '!$L$41),0+(('B1b '!$M$41-'B1b '!$M$40)/('B1b '!$L$41-'B1b '!$L$40))*(AC107-'B1b '!$L$40),0))</f>
        <v>120</v>
      </c>
      <c r="AE107" s="613"/>
      <c r="AF107" s="436">
        <v>13</v>
      </c>
      <c r="AG107" s="436">
        <f>IF(AF107&lt;='B1b '!$L$43,'B1b '!$M$43,IF(AND(AF107&lt;='B1b '!$L$42,AF107&gt;'B1b '!$L$43),0+(('B1b '!$M$43-'B1b '!$M$42)/('B1b '!$L$43-'B1b '!$L$42))*(AF107-'B1b '!$L$42),0))</f>
        <v>61.875</v>
      </c>
      <c r="AH107" s="183"/>
    </row>
    <row r="108" spans="2:34">
      <c r="B108" s="182"/>
      <c r="C108" s="435">
        <v>14</v>
      </c>
      <c r="D108" s="435">
        <f>IF(C108&lt;='B1b '!$G$35,'B1b '!$H$35,IF(AND(C108&lt;='B1b '!$G$34,C108&gt;'B1b '!$G$35),0+(('B1b '!$H$35-'B1b '!$H$34)/('B1b '!$G$35-'B1b '!$G$34))*(C108-'B1b '!$G$34),0))</f>
        <v>22.61904761904762</v>
      </c>
      <c r="E108" s="611"/>
      <c r="F108" s="435">
        <v>14</v>
      </c>
      <c r="G108" s="435">
        <f>IF(F108&lt;='B1b '!$G$37,'B1b '!$H$37,IF(AND(F108&lt;='B1b '!$G$36,F108&gt;'B1b '!$G$37),0+(('B1b '!$H$37-'B1b '!$H$36)/('B1b '!$G$37-'B1b '!$G$36))*(F108-'B1b '!$G$36),0))</f>
        <v>40</v>
      </c>
      <c r="H108" s="415"/>
      <c r="I108" s="435">
        <v>14</v>
      </c>
      <c r="J108" s="435">
        <f>IF(I108&lt;='B1b '!$G$39,'B1b '!$H$39,IF(AND(I108&lt;='B1b '!$G$38,I108&gt;'B1b '!$G$39),0+(('B1b '!$H$39-'B1b '!$H$38)/('B1b '!$G$39-'B1b '!$G$38))*(I108-'B1b '!$G$38),0))</f>
        <v>26.666666666666668</v>
      </c>
      <c r="K108" s="611"/>
      <c r="L108" s="435">
        <v>14</v>
      </c>
      <c r="M108" s="435">
        <f>IF(L108&lt;='B1b '!$G$41,'B1b '!$H$41,IF(AND(L108&lt;='B1b '!$G$40,L108&gt;'B1b '!$G$41),0+(('B1b '!$H$41-'B1b '!$H$40)/('B1b '!$G$41-'B1b '!$G$40))*(L108-'B1b '!$G$40),0))</f>
        <v>120</v>
      </c>
      <c r="N108" s="611"/>
      <c r="O108" s="435">
        <v>14</v>
      </c>
      <c r="P108" s="435">
        <f>IF(O108&lt;='B1b '!$G$43,'B1b '!$H$43,IF(AND(O108&lt;='B1b '!$G$42,O108&gt;'B1b '!$G$43),0+(('B1b '!$H$43-'B1b '!$H$42)/('B1b '!$G$43-'B1b '!$G$42))*(O108-'B1b '!$G$42),0))</f>
        <v>30</v>
      </c>
      <c r="Q108" s="415"/>
      <c r="R108" s="434"/>
      <c r="S108" s="612"/>
      <c r="T108" s="436">
        <v>14</v>
      </c>
      <c r="U108" s="436">
        <f>IF(T108&lt;='B1b '!$L$35,'B1b '!$M$35,IF(AND(T108&lt;='B1b '!$L$34,T108&gt;'B1b '!$L$35),0+(('B1b '!$M$35-'B1b '!$M$34)/('B1b '!$L$35-'B1b '!$L$34))*(T108-'B1b '!$L$34),0))</f>
        <v>25</v>
      </c>
      <c r="V108" s="613"/>
      <c r="W108" s="436">
        <v>14</v>
      </c>
      <c r="X108" s="436">
        <f>IF(W108&lt;='B1b '!$L$37,'B1b '!$M$37,IF(AND(W108&lt;='B1b '!$L$36,W108&gt;'B1b '!$L$37),0+(('B1b '!$M$37-'B1b '!$M$36)/('B1b '!$L$37-'B1b '!$L$36))*(W108-'B1b '!$L$36),0))</f>
        <v>40</v>
      </c>
      <c r="Y108" s="612"/>
      <c r="Z108" s="436">
        <v>14</v>
      </c>
      <c r="AA108" s="436">
        <f>IF(Z108&lt;='B1b '!$L$39,'B1b '!$M$39,IF(AND(Z108&lt;='B1b '!$L$38,Z108&gt;'B1b '!$L$39),0+(('B1b '!$M$39-'B1b '!$M$38)/('B1b '!$L$39-'B1b '!$L$38))*(Z108-'B1b '!$L$38),0))</f>
        <v>30</v>
      </c>
      <c r="AB108" s="613"/>
      <c r="AC108" s="436">
        <v>14</v>
      </c>
      <c r="AD108" s="436">
        <f>IF(AC108&lt;='B1b '!$L$41,'B1b '!$M$41,IF(AND(AC108&lt;='B1b '!$L$40,AC108&gt;'B1b '!$L$41),0+(('B1b '!$M$41-'B1b '!$M$40)/('B1b '!$L$41-'B1b '!$L$40))*(AC108-'B1b '!$L$40),0))</f>
        <v>120</v>
      </c>
      <c r="AE108" s="613"/>
      <c r="AF108" s="436">
        <v>14</v>
      </c>
      <c r="AG108" s="436">
        <f>IF(AF108&lt;='B1b '!$L$43,'B1b '!$M$43,IF(AND(AF108&lt;='B1b '!$L$42,AF108&gt;'B1b '!$L$43),0+(('B1b '!$M$43-'B1b '!$M$42)/('B1b '!$L$43-'B1b '!$L$42))*(AF108-'B1b '!$L$42),0))</f>
        <v>56.25</v>
      </c>
      <c r="AH108" s="183"/>
    </row>
    <row r="109" spans="2:34">
      <c r="B109" s="182"/>
      <c r="C109" s="435">
        <v>15</v>
      </c>
      <c r="D109" s="435">
        <f>IF(C109&lt;='B1b '!$G$35,'B1b '!$H$35,IF(AND(C109&lt;='B1b '!$G$34,C109&gt;'B1b '!$G$35),0+(('B1b '!$H$35-'B1b '!$H$34)/('B1b '!$G$35-'B1b '!$G$34))*(C109-'B1b '!$G$34),0))</f>
        <v>22.023809523809522</v>
      </c>
      <c r="E109" s="611"/>
      <c r="F109" s="435">
        <v>15</v>
      </c>
      <c r="G109" s="435">
        <f>IF(F109&lt;='B1b '!$G$37,'B1b '!$H$37,IF(AND(F109&lt;='B1b '!$G$36,F109&gt;'B1b '!$G$37),0+(('B1b '!$H$37-'B1b '!$H$36)/('B1b '!$G$37-'B1b '!$G$36))*(F109-'B1b '!$G$36),0))</f>
        <v>40</v>
      </c>
      <c r="H109" s="415"/>
      <c r="I109" s="435">
        <v>15</v>
      </c>
      <c r="J109" s="435">
        <f>IF(I109&lt;='B1b '!$G$39,'B1b '!$H$39,IF(AND(I109&lt;='B1b '!$G$38,I109&gt;'B1b '!$G$39),0+(('B1b '!$H$39-'B1b '!$H$38)/('B1b '!$G$39-'B1b '!$G$38))*(I109-'B1b '!$G$38),0))</f>
        <v>25</v>
      </c>
      <c r="K109" s="611"/>
      <c r="L109" s="435">
        <v>15</v>
      </c>
      <c r="M109" s="435">
        <f>IF(L109&lt;='B1b '!$G$41,'B1b '!$H$41,IF(AND(L109&lt;='B1b '!$G$40,L109&gt;'B1b '!$G$41),0+(('B1b '!$H$41-'B1b '!$H$40)/('B1b '!$G$41-'B1b '!$G$40))*(L109-'B1b '!$G$40),0))</f>
        <v>120</v>
      </c>
      <c r="N109" s="611"/>
      <c r="O109" s="435">
        <v>15</v>
      </c>
      <c r="P109" s="435">
        <f>IF(O109&lt;='B1b '!$G$43,'B1b '!$H$43,IF(AND(O109&lt;='B1b '!$G$42,O109&gt;'B1b '!$G$43),0+(('B1b '!$H$43-'B1b '!$H$42)/('B1b '!$G$43-'B1b '!$G$42))*(O109-'B1b '!$G$42),0))</f>
        <v>22.5</v>
      </c>
      <c r="Q109" s="415"/>
      <c r="R109" s="434"/>
      <c r="S109" s="612"/>
      <c r="T109" s="436">
        <v>15</v>
      </c>
      <c r="U109" s="436">
        <f>IF(T109&lt;='B1b '!$L$35,'B1b '!$M$35,IF(AND(T109&lt;='B1b '!$L$34,T109&gt;'B1b '!$L$35),0+(('B1b '!$M$35-'B1b '!$M$34)/('B1b '!$L$35-'B1b '!$L$34))*(T109-'B1b '!$L$34),0))</f>
        <v>25</v>
      </c>
      <c r="V109" s="613"/>
      <c r="W109" s="436">
        <v>15</v>
      </c>
      <c r="X109" s="436">
        <f>IF(W109&lt;='B1b '!$L$37,'B1b '!$M$37,IF(AND(W109&lt;='B1b '!$L$36,W109&gt;'B1b '!$L$37),0+(('B1b '!$M$37-'B1b '!$M$36)/('B1b '!$L$37-'B1b '!$L$36))*(W109-'B1b '!$L$36),0))</f>
        <v>40</v>
      </c>
      <c r="Y109" s="612"/>
      <c r="Z109" s="436">
        <v>15</v>
      </c>
      <c r="AA109" s="436">
        <f>IF(Z109&lt;='B1b '!$L$39,'B1b '!$M$39,IF(AND(Z109&lt;='B1b '!$L$38,Z109&gt;'B1b '!$L$39),0+(('B1b '!$M$39-'B1b '!$M$38)/('B1b '!$L$39-'B1b '!$L$38))*(Z109-'B1b '!$L$38),0))</f>
        <v>30</v>
      </c>
      <c r="AB109" s="613"/>
      <c r="AC109" s="436">
        <v>15</v>
      </c>
      <c r="AD109" s="436">
        <f>IF(AC109&lt;='B1b '!$L$41,'B1b '!$M$41,IF(AND(AC109&lt;='B1b '!$L$40,AC109&gt;'B1b '!$L$41),0+(('B1b '!$M$41-'B1b '!$M$40)/('B1b '!$L$41-'B1b '!$L$40))*(AC109-'B1b '!$L$40),0))</f>
        <v>120</v>
      </c>
      <c r="AE109" s="613"/>
      <c r="AF109" s="436">
        <v>15</v>
      </c>
      <c r="AG109" s="436">
        <f>IF(AF109&lt;='B1b '!$L$43,'B1b '!$M$43,IF(AND(AF109&lt;='B1b '!$L$42,AF109&gt;'B1b '!$L$43),0+(('B1b '!$M$43-'B1b '!$M$42)/('B1b '!$L$43-'B1b '!$L$42))*(AF109-'B1b '!$L$42),0))</f>
        <v>50.625</v>
      </c>
      <c r="AH109" s="183"/>
    </row>
    <row r="110" spans="2:34">
      <c r="B110" s="182"/>
      <c r="C110" s="435">
        <v>16</v>
      </c>
      <c r="D110" s="435">
        <f>IF(C110&lt;='B1b '!$G$35,'B1b '!$H$35,IF(AND(C110&lt;='B1b '!$G$34,C110&gt;'B1b '!$G$35),0+(('B1b '!$H$35-'B1b '!$H$34)/('B1b '!$G$35-'B1b '!$G$34))*(C110-'B1b '!$G$34),0))</f>
        <v>21.428571428571427</v>
      </c>
      <c r="E110" s="611"/>
      <c r="F110" s="435">
        <v>16</v>
      </c>
      <c r="G110" s="435">
        <f>IF(F110&lt;='B1b '!$G$37,'B1b '!$H$37,IF(AND(F110&lt;='B1b '!$G$36,F110&gt;'B1b '!$G$37),0+(('B1b '!$H$37-'B1b '!$H$36)/('B1b '!$G$37-'B1b '!$G$36))*(F110-'B1b '!$G$36),0))</f>
        <v>36</v>
      </c>
      <c r="H110" s="415"/>
      <c r="I110" s="435">
        <v>16</v>
      </c>
      <c r="J110" s="435">
        <f>IF(I110&lt;='B1b '!$G$39,'B1b '!$H$39,IF(AND(I110&lt;='B1b '!$G$38,I110&gt;'B1b '!$G$39),0+(('B1b '!$H$39-'B1b '!$H$38)/('B1b '!$G$39-'B1b '!$G$38))*(I110-'B1b '!$G$38),0))</f>
        <v>23.333333333333336</v>
      </c>
      <c r="K110" s="611"/>
      <c r="L110" s="435">
        <v>16</v>
      </c>
      <c r="M110" s="435">
        <f>IF(L110&lt;='B1b '!$G$41,'B1b '!$H$41,IF(AND(L110&lt;='B1b '!$G$40,L110&gt;'B1b '!$G$41),0+(('B1b '!$H$41-'B1b '!$H$40)/('B1b '!$G$41-'B1b '!$G$40))*(L110-'B1b '!$G$40),0))</f>
        <v>120</v>
      </c>
      <c r="N110" s="611"/>
      <c r="O110" s="435">
        <v>16</v>
      </c>
      <c r="P110" s="435">
        <f>IF(O110&lt;='B1b '!$G$43,'B1b '!$H$43,IF(AND(O110&lt;='B1b '!$G$42,O110&gt;'B1b '!$G$43),0+(('B1b '!$H$43-'B1b '!$H$42)/('B1b '!$G$43-'B1b '!$G$42))*(O110-'B1b '!$G$42),0))</f>
        <v>15</v>
      </c>
      <c r="Q110" s="415"/>
      <c r="R110" s="434"/>
      <c r="S110" s="612"/>
      <c r="T110" s="436">
        <v>16</v>
      </c>
      <c r="U110" s="436">
        <f>IF(T110&lt;='B1b '!$L$35,'B1b '!$M$35,IF(AND(T110&lt;='B1b '!$L$34,T110&gt;'B1b '!$L$35),0+(('B1b '!$M$35-'B1b '!$M$34)/('B1b '!$L$35-'B1b '!$L$34))*(T110-'B1b '!$L$34),0))</f>
        <v>25</v>
      </c>
      <c r="V110" s="613"/>
      <c r="W110" s="436">
        <v>16</v>
      </c>
      <c r="X110" s="436">
        <f>IF(W110&lt;='B1b '!$L$37,'B1b '!$M$37,IF(AND(W110&lt;='B1b '!$L$36,W110&gt;'B1b '!$L$37),0+(('B1b '!$M$37-'B1b '!$M$36)/('B1b '!$L$37-'B1b '!$L$36))*(W110-'B1b '!$L$36),0))</f>
        <v>40</v>
      </c>
      <c r="Y110" s="612"/>
      <c r="Z110" s="436">
        <v>16</v>
      </c>
      <c r="AA110" s="436">
        <f>IF(Z110&lt;='B1b '!$L$39,'B1b '!$M$39,IF(AND(Z110&lt;='B1b '!$L$38,Z110&gt;'B1b '!$L$39),0+(('B1b '!$M$39-'B1b '!$M$38)/('B1b '!$L$39-'B1b '!$L$38))*(Z110-'B1b '!$L$38),0))</f>
        <v>30</v>
      </c>
      <c r="AB110" s="613"/>
      <c r="AC110" s="436">
        <v>16</v>
      </c>
      <c r="AD110" s="436">
        <f>IF(AC110&lt;='B1b '!$L$41,'B1b '!$M$41,IF(AND(AC110&lt;='B1b '!$L$40,AC110&gt;'B1b '!$L$41),0+(('B1b '!$M$41-'B1b '!$M$40)/('B1b '!$L$41-'B1b '!$L$40))*(AC110-'B1b '!$L$40),0))</f>
        <v>120</v>
      </c>
      <c r="AE110" s="613"/>
      <c r="AF110" s="436">
        <v>16</v>
      </c>
      <c r="AG110" s="436">
        <f>IF(AF110&lt;='B1b '!$L$43,'B1b '!$M$43,IF(AND(AF110&lt;='B1b '!$L$42,AF110&gt;'B1b '!$L$43),0+(('B1b '!$M$43-'B1b '!$M$42)/('B1b '!$L$43-'B1b '!$L$42))*(AF110-'B1b '!$L$42),0))</f>
        <v>45</v>
      </c>
      <c r="AH110" s="183"/>
    </row>
    <row r="111" spans="2:34">
      <c r="B111" s="182"/>
      <c r="C111" s="435">
        <v>17</v>
      </c>
      <c r="D111" s="435">
        <f>IF(C111&lt;='B1b '!$G$35,'B1b '!$H$35,IF(AND(C111&lt;='B1b '!$G$34,C111&gt;'B1b '!$G$35),0+(('B1b '!$H$35-'B1b '!$H$34)/('B1b '!$G$35-'B1b '!$G$34))*(C111-'B1b '!$G$34),0))</f>
        <v>20.833333333333332</v>
      </c>
      <c r="E111" s="611"/>
      <c r="F111" s="435">
        <v>17</v>
      </c>
      <c r="G111" s="435">
        <f>IF(F111&lt;='B1b '!$G$37,'B1b '!$H$37,IF(AND(F111&lt;='B1b '!$G$36,F111&gt;'B1b '!$G$37),0+(('B1b '!$H$37-'B1b '!$H$36)/('B1b '!$G$37-'B1b '!$G$36))*(F111-'B1b '!$G$36),0))</f>
        <v>32</v>
      </c>
      <c r="H111" s="415"/>
      <c r="I111" s="435">
        <v>17</v>
      </c>
      <c r="J111" s="435">
        <f>IF(I111&lt;='B1b '!$G$39,'B1b '!$H$39,IF(AND(I111&lt;='B1b '!$G$38,I111&gt;'B1b '!$G$39),0+(('B1b '!$H$39-'B1b '!$H$38)/('B1b '!$G$39-'B1b '!$G$38))*(I111-'B1b '!$G$38),0))</f>
        <v>21.666666666666668</v>
      </c>
      <c r="K111" s="611"/>
      <c r="L111" s="435">
        <v>17</v>
      </c>
      <c r="M111" s="435">
        <f>IF(L111&lt;='B1b '!$G$41,'B1b '!$H$41,IF(AND(L111&lt;='B1b '!$G$40,L111&gt;'B1b '!$G$41),0+(('B1b '!$H$41-'B1b '!$H$40)/('B1b '!$G$41-'B1b '!$G$40))*(L111-'B1b '!$G$40),0))</f>
        <v>120</v>
      </c>
      <c r="N111" s="611"/>
      <c r="O111" s="435">
        <v>17</v>
      </c>
      <c r="P111" s="435">
        <f>IF(O111&lt;='B1b '!$G$43,'B1b '!$H$43,IF(AND(O111&lt;='B1b '!$G$42,O111&gt;'B1b '!$G$43),0+(('B1b '!$H$43-'B1b '!$H$42)/('B1b '!$G$43-'B1b '!$G$42))*(O111-'B1b '!$G$42),0))</f>
        <v>7.5</v>
      </c>
      <c r="Q111" s="415"/>
      <c r="R111" s="434"/>
      <c r="S111" s="612"/>
      <c r="T111" s="436">
        <v>17</v>
      </c>
      <c r="U111" s="436">
        <f>IF(T111&lt;='B1b '!$L$35,'B1b '!$M$35,IF(AND(T111&lt;='B1b '!$L$34,T111&gt;'B1b '!$L$35),0+(('B1b '!$M$35-'B1b '!$M$34)/('B1b '!$L$35-'B1b '!$L$34))*(T111-'B1b '!$L$34),0))</f>
        <v>25</v>
      </c>
      <c r="V111" s="613"/>
      <c r="W111" s="436">
        <v>17</v>
      </c>
      <c r="X111" s="436">
        <f>IF(W111&lt;='B1b '!$L$37,'B1b '!$M$37,IF(AND(W111&lt;='B1b '!$L$36,W111&gt;'B1b '!$L$37),0+(('B1b '!$M$37-'B1b '!$M$36)/('B1b '!$L$37-'B1b '!$L$36))*(W111-'B1b '!$L$36),0))</f>
        <v>40</v>
      </c>
      <c r="Y111" s="612"/>
      <c r="Z111" s="436">
        <v>17</v>
      </c>
      <c r="AA111" s="436">
        <f>IF(Z111&lt;='B1b '!$L$39,'B1b '!$M$39,IF(AND(Z111&lt;='B1b '!$L$38,Z111&gt;'B1b '!$L$39),0+(('B1b '!$M$39-'B1b '!$M$38)/('B1b '!$L$39-'B1b '!$L$38))*(Z111-'B1b '!$L$38),0))</f>
        <v>30</v>
      </c>
      <c r="AB111" s="613"/>
      <c r="AC111" s="436">
        <v>17</v>
      </c>
      <c r="AD111" s="436">
        <f>IF(AC111&lt;='B1b '!$L$41,'B1b '!$M$41,IF(AND(AC111&lt;='B1b '!$L$40,AC111&gt;'B1b '!$L$41),0+(('B1b '!$M$41-'B1b '!$M$40)/('B1b '!$L$41-'B1b '!$L$40))*(AC111-'B1b '!$L$40),0))</f>
        <v>120</v>
      </c>
      <c r="AE111" s="613"/>
      <c r="AF111" s="436">
        <v>17</v>
      </c>
      <c r="AG111" s="436">
        <f>IF(AF111&lt;='B1b '!$L$43,'B1b '!$M$43,IF(AND(AF111&lt;='B1b '!$L$42,AF111&gt;'B1b '!$L$43),0+(('B1b '!$M$43-'B1b '!$M$42)/('B1b '!$L$43-'B1b '!$L$42))*(AF111-'B1b '!$L$42),0))</f>
        <v>39.375</v>
      </c>
      <c r="AH111" s="183"/>
    </row>
    <row r="112" spans="2:34">
      <c r="B112" s="182"/>
      <c r="C112" s="435">
        <v>18</v>
      </c>
      <c r="D112" s="435">
        <f>IF(C112&lt;='B1b '!$G$35,'B1b '!$H$35,IF(AND(C112&lt;='B1b '!$G$34,C112&gt;'B1b '!$G$35),0+(('B1b '!$H$35-'B1b '!$H$34)/('B1b '!$G$35-'B1b '!$G$34))*(C112-'B1b '!$G$34),0))</f>
        <v>20.238095238095237</v>
      </c>
      <c r="E112" s="611"/>
      <c r="F112" s="435">
        <v>18</v>
      </c>
      <c r="G112" s="435">
        <f>IF(F112&lt;='B1b '!$G$37,'B1b '!$H$37,IF(AND(F112&lt;='B1b '!$G$36,F112&gt;'B1b '!$G$37),0+(('B1b '!$H$37-'B1b '!$H$36)/('B1b '!$G$37-'B1b '!$G$36))*(F112-'B1b '!$G$36),0))</f>
        <v>28</v>
      </c>
      <c r="H112" s="415"/>
      <c r="I112" s="435">
        <v>18</v>
      </c>
      <c r="J112" s="435">
        <f>IF(I112&lt;='B1b '!$G$39,'B1b '!$H$39,IF(AND(I112&lt;='B1b '!$G$38,I112&gt;'B1b '!$G$39),0+(('B1b '!$H$39-'B1b '!$H$38)/('B1b '!$G$39-'B1b '!$G$38))*(I112-'B1b '!$G$38),0))</f>
        <v>20</v>
      </c>
      <c r="K112" s="611"/>
      <c r="L112" s="435">
        <v>18</v>
      </c>
      <c r="M112" s="435">
        <f>IF(L112&lt;='B1b '!$G$41,'B1b '!$H$41,IF(AND(L112&lt;='B1b '!$G$40,L112&gt;'B1b '!$G$41),0+(('B1b '!$H$41-'B1b '!$H$40)/('B1b '!$G$41-'B1b '!$G$40))*(L112-'B1b '!$G$40),0))</f>
        <v>120</v>
      </c>
      <c r="N112" s="611"/>
      <c r="O112" s="435">
        <v>18</v>
      </c>
      <c r="P112" s="435">
        <f>IF(O112&lt;='B1b '!$G$43,'B1b '!$H$43,IF(AND(O112&lt;='B1b '!$G$42,O112&gt;'B1b '!$G$43),0+(('B1b '!$H$43-'B1b '!$H$42)/('B1b '!$G$43-'B1b '!$G$42))*(O112-'B1b '!$G$42),0))</f>
        <v>0</v>
      </c>
      <c r="Q112" s="415"/>
      <c r="R112" s="434"/>
      <c r="S112" s="612"/>
      <c r="T112" s="436">
        <v>18</v>
      </c>
      <c r="U112" s="436">
        <f>IF(T112&lt;='B1b '!$L$35,'B1b '!$M$35,IF(AND(T112&lt;='B1b '!$L$34,T112&gt;'B1b '!$L$35),0+(('B1b '!$M$35-'B1b '!$M$34)/('B1b '!$L$35-'B1b '!$L$34))*(T112-'B1b '!$L$34),0))</f>
        <v>25</v>
      </c>
      <c r="V112" s="613"/>
      <c r="W112" s="436">
        <v>18</v>
      </c>
      <c r="X112" s="436">
        <f>IF(W112&lt;='B1b '!$L$37,'B1b '!$M$37,IF(AND(W112&lt;='B1b '!$L$36,W112&gt;'B1b '!$L$37),0+(('B1b '!$M$37-'B1b '!$M$36)/('B1b '!$L$37-'B1b '!$L$36))*(W112-'B1b '!$L$36),0))</f>
        <v>36.923076923076927</v>
      </c>
      <c r="Y112" s="612"/>
      <c r="Z112" s="436">
        <v>18</v>
      </c>
      <c r="AA112" s="436">
        <f>IF(Z112&lt;='B1b '!$L$39,'B1b '!$M$39,IF(AND(Z112&lt;='B1b '!$L$38,Z112&gt;'B1b '!$L$39),0+(('B1b '!$M$39-'B1b '!$M$38)/('B1b '!$L$39-'B1b '!$L$38))*(Z112-'B1b '!$L$38),0))</f>
        <v>30</v>
      </c>
      <c r="AB112" s="613"/>
      <c r="AC112" s="436">
        <v>18</v>
      </c>
      <c r="AD112" s="436">
        <f>IF(AC112&lt;='B1b '!$L$41,'B1b '!$M$41,IF(AND(AC112&lt;='B1b '!$L$40,AC112&gt;'B1b '!$L$41),0+(('B1b '!$M$41-'B1b '!$M$40)/('B1b '!$L$41-'B1b '!$L$40))*(AC112-'B1b '!$L$40),0))</f>
        <v>120</v>
      </c>
      <c r="AE112" s="613"/>
      <c r="AF112" s="436">
        <v>18</v>
      </c>
      <c r="AG112" s="436">
        <f>IF(AF112&lt;='B1b '!$L$43,'B1b '!$M$43,IF(AND(AF112&lt;='B1b '!$L$42,AF112&gt;'B1b '!$L$43),0+(('B1b '!$M$43-'B1b '!$M$42)/('B1b '!$L$43-'B1b '!$L$42))*(AF112-'B1b '!$L$42),0))</f>
        <v>33.75</v>
      </c>
      <c r="AH112" s="183"/>
    </row>
    <row r="113" spans="2:34">
      <c r="B113" s="182"/>
      <c r="C113" s="435">
        <v>19</v>
      </c>
      <c r="D113" s="435">
        <f>IF(C113&lt;='B1b '!$G$35,'B1b '!$H$35,IF(AND(C113&lt;='B1b '!$G$34,C113&gt;'B1b '!$G$35),0+(('B1b '!$H$35-'B1b '!$H$34)/('B1b '!$G$35-'B1b '!$G$34))*(C113-'B1b '!$G$34),0))</f>
        <v>19.642857142857142</v>
      </c>
      <c r="E113" s="611"/>
      <c r="F113" s="435">
        <v>19</v>
      </c>
      <c r="G113" s="435">
        <f>IF(F113&lt;='B1b '!$G$37,'B1b '!$H$37,IF(AND(F113&lt;='B1b '!$G$36,F113&gt;'B1b '!$G$37),0+(('B1b '!$H$37-'B1b '!$H$36)/('B1b '!$G$37-'B1b '!$G$36))*(F113-'B1b '!$G$36),0))</f>
        <v>24</v>
      </c>
      <c r="H113" s="415"/>
      <c r="I113" s="435">
        <v>19</v>
      </c>
      <c r="J113" s="435">
        <f>IF(I113&lt;='B1b '!$G$39,'B1b '!$H$39,IF(AND(I113&lt;='B1b '!$G$38,I113&gt;'B1b '!$G$39),0+(('B1b '!$H$39-'B1b '!$H$38)/('B1b '!$G$39-'B1b '!$G$38))*(I113-'B1b '!$G$38),0))</f>
        <v>18.333333333333336</v>
      </c>
      <c r="K113" s="611"/>
      <c r="L113" s="435">
        <v>19</v>
      </c>
      <c r="M113" s="435">
        <f>IF(L113&lt;='B1b '!$G$41,'B1b '!$H$41,IF(AND(L113&lt;='B1b '!$G$40,L113&gt;'B1b '!$G$41),0+(('B1b '!$H$41-'B1b '!$H$40)/('B1b '!$G$41-'B1b '!$G$40))*(L113-'B1b '!$G$40),0))</f>
        <v>120</v>
      </c>
      <c r="N113" s="611"/>
      <c r="O113" s="435">
        <v>19</v>
      </c>
      <c r="P113" s="435">
        <f>IF(O113&lt;='B1b '!$G$43,'B1b '!$H$43,IF(AND(O113&lt;='B1b '!$G$42,O113&gt;'B1b '!$G$43),0+(('B1b '!$H$43-'B1b '!$H$42)/('B1b '!$G$43-'B1b '!$G$42))*(O113-'B1b '!$G$42),0))</f>
        <v>0</v>
      </c>
      <c r="Q113" s="415"/>
      <c r="R113" s="434"/>
      <c r="S113" s="612"/>
      <c r="T113" s="436">
        <v>19</v>
      </c>
      <c r="U113" s="436">
        <f>IF(T113&lt;='B1b '!$L$35,'B1b '!$M$35,IF(AND(T113&lt;='B1b '!$L$34,T113&gt;'B1b '!$L$35),0+(('B1b '!$M$35-'B1b '!$M$34)/('B1b '!$L$35-'B1b '!$L$34))*(T113-'B1b '!$L$34),0))</f>
        <v>25</v>
      </c>
      <c r="V113" s="613"/>
      <c r="W113" s="436">
        <v>19</v>
      </c>
      <c r="X113" s="436">
        <f>IF(W113&lt;='B1b '!$L$37,'B1b '!$M$37,IF(AND(W113&lt;='B1b '!$L$36,W113&gt;'B1b '!$L$37),0+(('B1b '!$M$37-'B1b '!$M$36)/('B1b '!$L$37-'B1b '!$L$36))*(W113-'B1b '!$L$36),0))</f>
        <v>33.846153846153847</v>
      </c>
      <c r="Y113" s="612"/>
      <c r="Z113" s="436">
        <v>19</v>
      </c>
      <c r="AA113" s="436">
        <f>IF(Z113&lt;='B1b '!$L$39,'B1b '!$M$39,IF(AND(Z113&lt;='B1b '!$L$38,Z113&gt;'B1b '!$L$39),0+(('B1b '!$M$39-'B1b '!$M$38)/('B1b '!$L$39-'B1b '!$L$38))*(Z113-'B1b '!$L$38),0))</f>
        <v>30</v>
      </c>
      <c r="AB113" s="613"/>
      <c r="AC113" s="436">
        <v>19</v>
      </c>
      <c r="AD113" s="436">
        <f>IF(AC113&lt;='B1b '!$L$41,'B1b '!$M$41,IF(AND(AC113&lt;='B1b '!$L$40,AC113&gt;'B1b '!$L$41),0+(('B1b '!$M$41-'B1b '!$M$40)/('B1b '!$L$41-'B1b '!$L$40))*(AC113-'B1b '!$L$40),0))</f>
        <v>120</v>
      </c>
      <c r="AE113" s="613"/>
      <c r="AF113" s="436">
        <v>19</v>
      </c>
      <c r="AG113" s="436">
        <f>IF(AF113&lt;='B1b '!$L$43,'B1b '!$M$43,IF(AND(AF113&lt;='B1b '!$L$42,AF113&gt;'B1b '!$L$43),0+(('B1b '!$M$43-'B1b '!$M$42)/('B1b '!$L$43-'B1b '!$L$42))*(AF113-'B1b '!$L$42),0))</f>
        <v>28.125</v>
      </c>
      <c r="AH113" s="183"/>
    </row>
    <row r="114" spans="2:34">
      <c r="B114" s="182"/>
      <c r="C114" s="435">
        <v>20</v>
      </c>
      <c r="D114" s="435">
        <f>IF(C114&lt;='B1b '!$G$35,'B1b '!$H$35,IF(AND(C114&lt;='B1b '!$G$34,C114&gt;'B1b '!$G$35),0+(('B1b '!$H$35-'B1b '!$H$34)/('B1b '!$G$35-'B1b '!$G$34))*(C114-'B1b '!$G$34),0))</f>
        <v>19.047619047619047</v>
      </c>
      <c r="E114" s="611"/>
      <c r="F114" s="435">
        <v>20</v>
      </c>
      <c r="G114" s="435">
        <f>IF(F114&lt;='B1b '!$G$37,'B1b '!$H$37,IF(AND(F114&lt;='B1b '!$G$36,F114&gt;'B1b '!$G$37),0+(('B1b '!$H$37-'B1b '!$H$36)/('B1b '!$G$37-'B1b '!$G$36))*(F114-'B1b '!$G$36),0))</f>
        <v>20</v>
      </c>
      <c r="H114" s="415"/>
      <c r="I114" s="435">
        <v>20</v>
      </c>
      <c r="J114" s="435">
        <f>IF(I114&lt;='B1b '!$G$39,'B1b '!$H$39,IF(AND(I114&lt;='B1b '!$G$38,I114&gt;'B1b '!$G$39),0+(('B1b '!$H$39-'B1b '!$H$38)/('B1b '!$G$39-'B1b '!$G$38))*(I114-'B1b '!$G$38),0))</f>
        <v>16.666666666666668</v>
      </c>
      <c r="K114" s="611"/>
      <c r="L114" s="435">
        <v>20</v>
      </c>
      <c r="M114" s="435">
        <f>IF(L114&lt;='B1b '!$G$41,'B1b '!$H$41,IF(AND(L114&lt;='B1b '!$G$40,L114&gt;'B1b '!$G$41),0+(('B1b '!$H$41-'B1b '!$H$40)/('B1b '!$G$41-'B1b '!$G$40))*(L114-'B1b '!$G$40),0))</f>
        <v>120</v>
      </c>
      <c r="N114" s="611"/>
      <c r="O114" s="435">
        <v>20</v>
      </c>
      <c r="P114" s="435">
        <f>IF(O114&lt;='B1b '!$G$43,'B1b '!$H$43,IF(AND(O114&lt;='B1b '!$G$42,O114&gt;'B1b '!$G$43),0+(('B1b '!$H$43-'B1b '!$H$42)/('B1b '!$G$43-'B1b '!$G$42))*(O114-'B1b '!$G$42),0))</f>
        <v>0</v>
      </c>
      <c r="Q114" s="415"/>
      <c r="R114" s="434"/>
      <c r="S114" s="612"/>
      <c r="T114" s="436">
        <v>20</v>
      </c>
      <c r="U114" s="436">
        <f>IF(T114&lt;='B1b '!$L$35,'B1b '!$M$35,IF(AND(T114&lt;='B1b '!$L$34,T114&gt;'B1b '!$L$35),0+(('B1b '!$M$35-'B1b '!$M$34)/('B1b '!$L$35-'B1b '!$L$34))*(T114-'B1b '!$L$34),0))</f>
        <v>25</v>
      </c>
      <c r="V114" s="613"/>
      <c r="W114" s="436">
        <v>20</v>
      </c>
      <c r="X114" s="436">
        <f>IF(W114&lt;='B1b '!$L$37,'B1b '!$M$37,IF(AND(W114&lt;='B1b '!$L$36,W114&gt;'B1b '!$L$37),0+(('B1b '!$M$37-'B1b '!$M$36)/('B1b '!$L$37-'B1b '!$L$36))*(W114-'B1b '!$L$36),0))</f>
        <v>30.76923076923077</v>
      </c>
      <c r="Y114" s="612"/>
      <c r="Z114" s="436">
        <v>20</v>
      </c>
      <c r="AA114" s="436">
        <f>IF(Z114&lt;='B1b '!$L$39,'B1b '!$M$39,IF(AND(Z114&lt;='B1b '!$L$38,Z114&gt;'B1b '!$L$39),0+(('B1b '!$M$39-'B1b '!$M$38)/('B1b '!$L$39-'B1b '!$L$38))*(Z114-'B1b '!$L$38),0))</f>
        <v>30</v>
      </c>
      <c r="AB114" s="613"/>
      <c r="AC114" s="436">
        <v>20</v>
      </c>
      <c r="AD114" s="436">
        <f>IF(AC114&lt;='B1b '!$L$41,'B1b '!$M$41,IF(AND(AC114&lt;='B1b '!$L$40,AC114&gt;'B1b '!$L$41),0+(('B1b '!$M$41-'B1b '!$M$40)/('B1b '!$L$41-'B1b '!$L$40))*(AC114-'B1b '!$L$40),0))</f>
        <v>120</v>
      </c>
      <c r="AE114" s="613"/>
      <c r="AF114" s="436">
        <v>20</v>
      </c>
      <c r="AG114" s="436">
        <f>IF(AF114&lt;='B1b '!$L$43,'B1b '!$M$43,IF(AND(AF114&lt;='B1b '!$L$42,AF114&gt;'B1b '!$L$43),0+(('B1b '!$M$43-'B1b '!$M$42)/('B1b '!$L$43-'B1b '!$L$42))*(AF114-'B1b '!$L$42),0))</f>
        <v>22.5</v>
      </c>
      <c r="AH114" s="183"/>
    </row>
    <row r="115" spans="2:34">
      <c r="B115" s="182"/>
      <c r="C115" s="435">
        <v>21</v>
      </c>
      <c r="D115" s="435">
        <f>IF(C115&lt;='B1b '!$G$35,'B1b '!$H$35,IF(AND(C115&lt;='B1b '!$G$34,C115&gt;'B1b '!$G$35),0+(('B1b '!$H$35-'B1b '!$H$34)/('B1b '!$G$35-'B1b '!$G$34))*(C115-'B1b '!$G$34),0))</f>
        <v>18.452380952380953</v>
      </c>
      <c r="E115" s="611"/>
      <c r="F115" s="435">
        <v>21</v>
      </c>
      <c r="G115" s="435">
        <f>IF(F115&lt;='B1b '!$G$37,'B1b '!$H$37,IF(AND(F115&lt;='B1b '!$G$36,F115&gt;'B1b '!$G$37),0+(('B1b '!$H$37-'B1b '!$H$36)/('B1b '!$G$37-'B1b '!$G$36))*(F115-'B1b '!$G$36),0))</f>
        <v>16</v>
      </c>
      <c r="H115" s="415"/>
      <c r="I115" s="435">
        <v>21</v>
      </c>
      <c r="J115" s="435">
        <f>IF(I115&lt;='B1b '!$G$39,'B1b '!$H$39,IF(AND(I115&lt;='B1b '!$G$38,I115&gt;'B1b '!$G$39),0+(('B1b '!$H$39-'B1b '!$H$38)/('B1b '!$G$39-'B1b '!$G$38))*(I115-'B1b '!$G$38),0))</f>
        <v>15</v>
      </c>
      <c r="K115" s="611"/>
      <c r="L115" s="435">
        <v>21</v>
      </c>
      <c r="M115" s="435">
        <f>IF(L115&lt;='B1b '!$G$41,'B1b '!$H$41,IF(AND(L115&lt;='B1b '!$G$40,L115&gt;'B1b '!$G$41),0+(('B1b '!$H$41-'B1b '!$H$40)/('B1b '!$G$41-'B1b '!$G$40))*(L115-'B1b '!$G$40),0))</f>
        <v>120</v>
      </c>
      <c r="N115" s="611"/>
      <c r="O115" s="435">
        <v>21</v>
      </c>
      <c r="P115" s="435">
        <f>IF(O115&lt;='B1b '!$G$43,'B1b '!$H$43,IF(AND(O115&lt;='B1b '!$G$42,O115&gt;'B1b '!$G$43),0+(('B1b '!$H$43-'B1b '!$H$42)/('B1b '!$G$43-'B1b '!$G$42))*(O115-'B1b '!$G$42),0))</f>
        <v>0</v>
      </c>
      <c r="Q115" s="415"/>
      <c r="R115" s="434"/>
      <c r="S115" s="612"/>
      <c r="T115" s="436">
        <v>21</v>
      </c>
      <c r="U115" s="436">
        <f>IF(T115&lt;='B1b '!$L$35,'B1b '!$M$35,IF(AND(T115&lt;='B1b '!$L$34,T115&gt;'B1b '!$L$35),0+(('B1b '!$M$35-'B1b '!$M$34)/('B1b '!$L$35-'B1b '!$L$34))*(T115-'B1b '!$L$34),0))</f>
        <v>25</v>
      </c>
      <c r="V115" s="613"/>
      <c r="W115" s="436">
        <v>21</v>
      </c>
      <c r="X115" s="436">
        <f>IF(W115&lt;='B1b '!$L$37,'B1b '!$M$37,IF(AND(W115&lt;='B1b '!$L$36,W115&gt;'B1b '!$L$37),0+(('B1b '!$M$37-'B1b '!$M$36)/('B1b '!$L$37-'B1b '!$L$36))*(W115-'B1b '!$L$36),0))</f>
        <v>27.692307692307693</v>
      </c>
      <c r="Y115" s="612"/>
      <c r="Z115" s="436">
        <v>21</v>
      </c>
      <c r="AA115" s="436">
        <f>IF(Z115&lt;='B1b '!$L$39,'B1b '!$M$39,IF(AND(Z115&lt;='B1b '!$L$38,Z115&gt;'B1b '!$L$39),0+(('B1b '!$M$39-'B1b '!$M$38)/('B1b '!$L$39-'B1b '!$L$38))*(Z115-'B1b '!$L$38),0))</f>
        <v>29</v>
      </c>
      <c r="AB115" s="613"/>
      <c r="AC115" s="436">
        <v>21</v>
      </c>
      <c r="AD115" s="436">
        <f>IF(AC115&lt;='B1b '!$L$41,'B1b '!$M$41,IF(AND(AC115&lt;='B1b '!$L$40,AC115&gt;'B1b '!$L$41),0+(('B1b '!$M$41-'B1b '!$M$40)/('B1b '!$L$41-'B1b '!$L$40))*(AC115-'B1b '!$L$40),0))</f>
        <v>120</v>
      </c>
      <c r="AE115" s="613"/>
      <c r="AF115" s="436">
        <v>21</v>
      </c>
      <c r="AG115" s="436">
        <f>IF(AF115&lt;='B1b '!$L$43,'B1b '!$M$43,IF(AND(AF115&lt;='B1b '!$L$42,AF115&gt;'B1b '!$L$43),0+(('B1b '!$M$43-'B1b '!$M$42)/('B1b '!$L$43-'B1b '!$L$42))*(AF115-'B1b '!$L$42),0))</f>
        <v>16.875</v>
      </c>
      <c r="AH115" s="183"/>
    </row>
    <row r="116" spans="2:34">
      <c r="B116" s="182"/>
      <c r="C116" s="435">
        <v>22</v>
      </c>
      <c r="D116" s="435">
        <f>IF(C116&lt;='B1b '!$G$35,'B1b '!$H$35,IF(AND(C116&lt;='B1b '!$G$34,C116&gt;'B1b '!$G$35),0+(('B1b '!$H$35-'B1b '!$H$34)/('B1b '!$G$35-'B1b '!$G$34))*(C116-'B1b '!$G$34),0))</f>
        <v>17.857142857142858</v>
      </c>
      <c r="E116" s="611"/>
      <c r="F116" s="435">
        <v>22</v>
      </c>
      <c r="G116" s="435">
        <f>IF(F116&lt;='B1b '!$G$37,'B1b '!$H$37,IF(AND(F116&lt;='B1b '!$G$36,F116&gt;'B1b '!$G$37),0+(('B1b '!$H$37-'B1b '!$H$36)/('B1b '!$G$37-'B1b '!$G$36))*(F116-'B1b '!$G$36),0))</f>
        <v>12</v>
      </c>
      <c r="H116" s="415"/>
      <c r="I116" s="435">
        <v>22</v>
      </c>
      <c r="J116" s="435">
        <f>IF(I116&lt;='B1b '!$G$39,'B1b '!$H$39,IF(AND(I116&lt;='B1b '!$G$38,I116&gt;'B1b '!$G$39),0+(('B1b '!$H$39-'B1b '!$H$38)/('B1b '!$G$39-'B1b '!$G$38))*(I116-'B1b '!$G$38),0))</f>
        <v>13.333333333333334</v>
      </c>
      <c r="K116" s="611"/>
      <c r="L116" s="435">
        <v>22</v>
      </c>
      <c r="M116" s="435">
        <f>IF(L116&lt;='B1b '!$G$41,'B1b '!$H$41,IF(AND(L116&lt;='B1b '!$G$40,L116&gt;'B1b '!$G$41),0+(('B1b '!$H$41-'B1b '!$H$40)/('B1b '!$G$41-'B1b '!$G$40))*(L116-'B1b '!$G$40),0))</f>
        <v>120</v>
      </c>
      <c r="N116" s="611"/>
      <c r="O116" s="435">
        <v>22</v>
      </c>
      <c r="P116" s="435">
        <f>IF(O116&lt;='B1b '!$G$43,'B1b '!$H$43,IF(AND(O116&lt;='B1b '!$G$42,O116&gt;'B1b '!$G$43),0+(('B1b '!$H$43-'B1b '!$H$42)/('B1b '!$G$43-'B1b '!$G$42))*(O116-'B1b '!$G$42),0))</f>
        <v>0</v>
      </c>
      <c r="Q116" s="415"/>
      <c r="R116" s="434"/>
      <c r="S116" s="612"/>
      <c r="T116" s="436">
        <v>22</v>
      </c>
      <c r="U116" s="436">
        <f>IF(T116&lt;='B1b '!$L$35,'B1b '!$M$35,IF(AND(T116&lt;='B1b '!$L$34,T116&gt;'B1b '!$L$35),0+(('B1b '!$M$35-'B1b '!$M$34)/('B1b '!$L$35-'B1b '!$L$34))*(T116-'B1b '!$L$34),0))</f>
        <v>25</v>
      </c>
      <c r="V116" s="613"/>
      <c r="W116" s="436">
        <v>22</v>
      </c>
      <c r="X116" s="436">
        <f>IF(W116&lt;='B1b '!$L$37,'B1b '!$M$37,IF(AND(W116&lt;='B1b '!$L$36,W116&gt;'B1b '!$L$37),0+(('B1b '!$M$37-'B1b '!$M$36)/('B1b '!$L$37-'B1b '!$L$36))*(W116-'B1b '!$L$36),0))</f>
        <v>24.615384615384617</v>
      </c>
      <c r="Y116" s="612"/>
      <c r="Z116" s="436">
        <v>22</v>
      </c>
      <c r="AA116" s="436">
        <f>IF(Z116&lt;='B1b '!$L$39,'B1b '!$M$39,IF(AND(Z116&lt;='B1b '!$L$38,Z116&gt;'B1b '!$L$39),0+(('B1b '!$M$39-'B1b '!$M$38)/('B1b '!$L$39-'B1b '!$L$38))*(Z116-'B1b '!$L$38),0))</f>
        <v>28</v>
      </c>
      <c r="AB116" s="613"/>
      <c r="AC116" s="436">
        <v>22</v>
      </c>
      <c r="AD116" s="436">
        <f>IF(AC116&lt;='B1b '!$L$41,'B1b '!$M$41,IF(AND(AC116&lt;='B1b '!$L$40,AC116&gt;'B1b '!$L$41),0+(('B1b '!$M$41-'B1b '!$M$40)/('B1b '!$L$41-'B1b '!$L$40))*(AC116-'B1b '!$L$40),0))</f>
        <v>120</v>
      </c>
      <c r="AE116" s="613"/>
      <c r="AF116" s="436">
        <v>22</v>
      </c>
      <c r="AG116" s="436">
        <f>IF(AF116&lt;='B1b '!$L$43,'B1b '!$M$43,IF(AND(AF116&lt;='B1b '!$L$42,AF116&gt;'B1b '!$L$43),0+(('B1b '!$M$43-'B1b '!$M$42)/('B1b '!$L$43-'B1b '!$L$42))*(AF116-'B1b '!$L$42),0))</f>
        <v>11.25</v>
      </c>
      <c r="AH116" s="183"/>
    </row>
    <row r="117" spans="2:34">
      <c r="B117" s="182"/>
      <c r="C117" s="435">
        <v>23</v>
      </c>
      <c r="D117" s="435">
        <f>IF(C117&lt;='B1b '!$G$35,'B1b '!$H$35,IF(AND(C117&lt;='B1b '!$G$34,C117&gt;'B1b '!$G$35),0+(('B1b '!$H$35-'B1b '!$H$34)/('B1b '!$G$35-'B1b '!$G$34))*(C117-'B1b '!$G$34),0))</f>
        <v>17.261904761904763</v>
      </c>
      <c r="E117" s="611"/>
      <c r="F117" s="435">
        <v>23</v>
      </c>
      <c r="G117" s="435">
        <f>IF(F117&lt;='B1b '!$G$37,'B1b '!$H$37,IF(AND(F117&lt;='B1b '!$G$36,F117&gt;'B1b '!$G$37),0+(('B1b '!$H$37-'B1b '!$H$36)/('B1b '!$G$37-'B1b '!$G$36))*(F117-'B1b '!$G$36),0))</f>
        <v>8</v>
      </c>
      <c r="H117" s="415"/>
      <c r="I117" s="435">
        <v>23</v>
      </c>
      <c r="J117" s="435">
        <f>IF(I117&lt;='B1b '!$G$39,'B1b '!$H$39,IF(AND(I117&lt;='B1b '!$G$38,I117&gt;'B1b '!$G$39),0+(('B1b '!$H$39-'B1b '!$H$38)/('B1b '!$G$39-'B1b '!$G$38))*(I117-'B1b '!$G$38),0))</f>
        <v>11.666666666666668</v>
      </c>
      <c r="K117" s="611"/>
      <c r="L117" s="435">
        <v>23</v>
      </c>
      <c r="M117" s="435">
        <f>IF(L117&lt;='B1b '!$G$41,'B1b '!$H$41,IF(AND(L117&lt;='B1b '!$G$40,L117&gt;'B1b '!$G$41),0+(('B1b '!$H$41-'B1b '!$H$40)/('B1b '!$G$41-'B1b '!$G$40))*(L117-'B1b '!$G$40),0))</f>
        <v>120</v>
      </c>
      <c r="N117" s="611"/>
      <c r="O117" s="435">
        <v>23</v>
      </c>
      <c r="P117" s="435">
        <f>IF(O117&lt;='B1b '!$G$43,'B1b '!$H$43,IF(AND(O117&lt;='B1b '!$G$42,O117&gt;'B1b '!$G$43),0+(('B1b '!$H$43-'B1b '!$H$42)/('B1b '!$G$43-'B1b '!$G$42))*(O117-'B1b '!$G$42),0))</f>
        <v>0</v>
      </c>
      <c r="Q117" s="415"/>
      <c r="R117" s="434"/>
      <c r="S117" s="612"/>
      <c r="T117" s="436">
        <v>23</v>
      </c>
      <c r="U117" s="436">
        <f>IF(T117&lt;='B1b '!$L$35,'B1b '!$M$35,IF(AND(T117&lt;='B1b '!$L$34,T117&gt;'B1b '!$L$35),0+(('B1b '!$M$35-'B1b '!$M$34)/('B1b '!$L$35-'B1b '!$L$34))*(T117-'B1b '!$L$34),0))</f>
        <v>24.375</v>
      </c>
      <c r="V117" s="613"/>
      <c r="W117" s="436">
        <v>23</v>
      </c>
      <c r="X117" s="436">
        <f>IF(W117&lt;='B1b '!$L$37,'B1b '!$M$37,IF(AND(W117&lt;='B1b '!$L$36,W117&gt;'B1b '!$L$37),0+(('B1b '!$M$37-'B1b '!$M$36)/('B1b '!$L$37-'B1b '!$L$36))*(W117-'B1b '!$L$36),0))</f>
        <v>21.53846153846154</v>
      </c>
      <c r="Y117" s="612"/>
      <c r="Z117" s="436">
        <v>23</v>
      </c>
      <c r="AA117" s="436">
        <f>IF(Z117&lt;='B1b '!$L$39,'B1b '!$M$39,IF(AND(Z117&lt;='B1b '!$L$38,Z117&gt;'B1b '!$L$39),0+(('B1b '!$M$39-'B1b '!$M$38)/('B1b '!$L$39-'B1b '!$L$38))*(Z117-'B1b '!$L$38),0))</f>
        <v>27</v>
      </c>
      <c r="AB117" s="613"/>
      <c r="AC117" s="436">
        <v>23</v>
      </c>
      <c r="AD117" s="436">
        <f>IF(AC117&lt;='B1b '!$L$41,'B1b '!$M$41,IF(AND(AC117&lt;='B1b '!$L$40,AC117&gt;'B1b '!$L$41),0+(('B1b '!$M$41-'B1b '!$M$40)/('B1b '!$L$41-'B1b '!$L$40))*(AC117-'B1b '!$L$40),0))</f>
        <v>120</v>
      </c>
      <c r="AE117" s="613"/>
      <c r="AF117" s="436">
        <v>23</v>
      </c>
      <c r="AG117" s="436">
        <f>IF(AF117&lt;='B1b '!$L$43,'B1b '!$M$43,IF(AND(AF117&lt;='B1b '!$L$42,AF117&gt;'B1b '!$L$43),0+(('B1b '!$M$43-'B1b '!$M$42)/('B1b '!$L$43-'B1b '!$L$42))*(AF117-'B1b '!$L$42),0))</f>
        <v>5.625</v>
      </c>
      <c r="AH117" s="183"/>
    </row>
    <row r="118" spans="2:34">
      <c r="B118" s="182"/>
      <c r="C118" s="435">
        <v>24</v>
      </c>
      <c r="D118" s="435">
        <f>IF(C118&lt;='B1b '!$G$35,'B1b '!$H$35,IF(AND(C118&lt;='B1b '!$G$34,C118&gt;'B1b '!$G$35),0+(('B1b '!$H$35-'B1b '!$H$34)/('B1b '!$G$35-'B1b '!$G$34))*(C118-'B1b '!$G$34),0))</f>
        <v>16.666666666666668</v>
      </c>
      <c r="E118" s="611"/>
      <c r="F118" s="435">
        <v>24</v>
      </c>
      <c r="G118" s="435">
        <f>IF(F118&lt;='B1b '!$G$37,'B1b '!$H$37,IF(AND(F118&lt;='B1b '!$G$36,F118&gt;'B1b '!$G$37),0+(('B1b '!$H$37-'B1b '!$H$36)/('B1b '!$G$37-'B1b '!$G$36))*(F118-'B1b '!$G$36),0))</f>
        <v>4</v>
      </c>
      <c r="H118" s="415"/>
      <c r="I118" s="435">
        <v>24</v>
      </c>
      <c r="J118" s="435">
        <f>IF(I118&lt;='B1b '!$G$39,'B1b '!$H$39,IF(AND(I118&lt;='B1b '!$G$38,I118&gt;'B1b '!$G$39),0+(('B1b '!$H$39-'B1b '!$H$38)/('B1b '!$G$39-'B1b '!$G$38))*(I118-'B1b '!$G$38),0))</f>
        <v>10</v>
      </c>
      <c r="K118" s="611"/>
      <c r="L118" s="435">
        <v>24</v>
      </c>
      <c r="M118" s="435">
        <f>IF(L118&lt;='B1b '!$G$41,'B1b '!$H$41,IF(AND(L118&lt;='B1b '!$G$40,L118&gt;'B1b '!$G$41),0+(('B1b '!$H$41-'B1b '!$H$40)/('B1b '!$G$41-'B1b '!$G$40))*(L118-'B1b '!$G$40),0))</f>
        <v>120</v>
      </c>
      <c r="N118" s="611"/>
      <c r="O118" s="435">
        <v>24</v>
      </c>
      <c r="P118" s="435">
        <f>IF(O118&lt;='B1b '!$G$43,'B1b '!$H$43,IF(AND(O118&lt;='B1b '!$G$42,O118&gt;'B1b '!$G$43),0+(('B1b '!$H$43-'B1b '!$H$42)/('B1b '!$G$43-'B1b '!$G$42))*(O118-'B1b '!$G$42),0))</f>
        <v>0</v>
      </c>
      <c r="Q118" s="415"/>
      <c r="R118" s="434"/>
      <c r="S118" s="612"/>
      <c r="T118" s="436">
        <v>24</v>
      </c>
      <c r="U118" s="436">
        <f>IF(T118&lt;='B1b '!$L$35,'B1b '!$M$35,IF(AND(T118&lt;='B1b '!$L$34,T118&gt;'B1b '!$L$35),0+(('B1b '!$M$35-'B1b '!$M$34)/('B1b '!$L$35-'B1b '!$L$34))*(T118-'B1b '!$L$34),0))</f>
        <v>23.75</v>
      </c>
      <c r="V118" s="613"/>
      <c r="W118" s="436">
        <v>24</v>
      </c>
      <c r="X118" s="436">
        <f>IF(W118&lt;='B1b '!$L$37,'B1b '!$M$37,IF(AND(W118&lt;='B1b '!$L$36,W118&gt;'B1b '!$L$37),0+(('B1b '!$M$37-'B1b '!$M$36)/('B1b '!$L$37-'B1b '!$L$36))*(W118-'B1b '!$L$36),0))</f>
        <v>18.461538461538463</v>
      </c>
      <c r="Y118" s="612"/>
      <c r="Z118" s="436">
        <v>24</v>
      </c>
      <c r="AA118" s="436">
        <f>IF(Z118&lt;='B1b '!$L$39,'B1b '!$M$39,IF(AND(Z118&lt;='B1b '!$L$38,Z118&gt;'B1b '!$L$39),0+(('B1b '!$M$39-'B1b '!$M$38)/('B1b '!$L$39-'B1b '!$L$38))*(Z118-'B1b '!$L$38),0))</f>
        <v>26</v>
      </c>
      <c r="AB118" s="613"/>
      <c r="AC118" s="436">
        <v>24</v>
      </c>
      <c r="AD118" s="436">
        <f>IF(AC118&lt;='B1b '!$L$41,'B1b '!$M$41,IF(AND(AC118&lt;='B1b '!$L$40,AC118&gt;'B1b '!$L$41),0+(('B1b '!$M$41-'B1b '!$M$40)/('B1b '!$L$41-'B1b '!$L$40))*(AC118-'B1b '!$L$40),0))</f>
        <v>120</v>
      </c>
      <c r="AE118" s="613"/>
      <c r="AF118" s="436">
        <v>24</v>
      </c>
      <c r="AG118" s="436">
        <f>IF(AF118&lt;='B1b '!$L$43,'B1b '!$M$43,IF(AND(AF118&lt;='B1b '!$L$42,AF118&gt;'B1b '!$L$43),0+(('B1b '!$M$43-'B1b '!$M$42)/('B1b '!$L$43-'B1b '!$L$42))*(AF118-'B1b '!$L$42),0))</f>
        <v>0</v>
      </c>
      <c r="AH118" s="183"/>
    </row>
    <row r="119" spans="2:34">
      <c r="B119" s="182"/>
      <c r="C119" s="435">
        <v>25</v>
      </c>
      <c r="D119" s="435">
        <f>IF(C119&lt;='B1b '!$G$35,'B1b '!$H$35,IF(AND(C119&lt;='B1b '!$G$34,C119&gt;'B1b '!$G$35),0+(('B1b '!$H$35-'B1b '!$H$34)/('B1b '!$G$35-'B1b '!$G$34))*(C119-'B1b '!$G$34),0))</f>
        <v>16.071428571428573</v>
      </c>
      <c r="E119" s="611"/>
      <c r="F119" s="435">
        <v>25</v>
      </c>
      <c r="G119" s="435">
        <f>IF(F119&lt;='B1b '!$G$37,'B1b '!$H$37,IF(AND(F119&lt;='B1b '!$G$36,F119&gt;'B1b '!$G$37),0+(('B1b '!$H$37-'B1b '!$H$36)/('B1b '!$G$37-'B1b '!$G$36))*(F119-'B1b '!$G$36),0))</f>
        <v>0</v>
      </c>
      <c r="H119" s="415"/>
      <c r="I119" s="435">
        <v>25</v>
      </c>
      <c r="J119" s="435">
        <f>IF(I119&lt;='B1b '!$G$39,'B1b '!$H$39,IF(AND(I119&lt;='B1b '!$G$38,I119&gt;'B1b '!$G$39),0+(('B1b '!$H$39-'B1b '!$H$38)/('B1b '!$G$39-'B1b '!$G$38))*(I119-'B1b '!$G$38),0))</f>
        <v>8.3333333333333339</v>
      </c>
      <c r="K119" s="611"/>
      <c r="L119" s="435">
        <v>25</v>
      </c>
      <c r="M119" s="435">
        <f>IF(L119&lt;='B1b '!$G$41,'B1b '!$H$41,IF(AND(L119&lt;='B1b '!$G$40,L119&gt;'B1b '!$G$41),0+(('B1b '!$H$41-'B1b '!$H$40)/('B1b '!$G$41-'B1b '!$G$40))*(L119-'B1b '!$G$40),0))</f>
        <v>120</v>
      </c>
      <c r="N119" s="611"/>
      <c r="O119" s="435">
        <v>25</v>
      </c>
      <c r="P119" s="435">
        <f>IF(O119&lt;='B1b '!$G$43,'B1b '!$H$43,IF(AND(O119&lt;='B1b '!$G$42,O119&gt;'B1b '!$G$43),0+(('B1b '!$H$43-'B1b '!$H$42)/('B1b '!$G$43-'B1b '!$G$42))*(O119-'B1b '!$G$42),0))</f>
        <v>0</v>
      </c>
      <c r="Q119" s="415"/>
      <c r="R119" s="434"/>
      <c r="S119" s="612"/>
      <c r="T119" s="436">
        <v>25</v>
      </c>
      <c r="U119" s="436">
        <f>IF(T119&lt;='B1b '!$L$35,'B1b '!$M$35,IF(AND(T119&lt;='B1b '!$L$34,T119&gt;'B1b '!$L$35),0+(('B1b '!$M$35-'B1b '!$M$34)/('B1b '!$L$35-'B1b '!$L$34))*(T119-'B1b '!$L$34),0))</f>
        <v>23.125</v>
      </c>
      <c r="V119" s="613"/>
      <c r="W119" s="436">
        <v>25</v>
      </c>
      <c r="X119" s="436">
        <f>IF(W119&lt;='B1b '!$L$37,'B1b '!$M$37,IF(AND(W119&lt;='B1b '!$L$36,W119&gt;'B1b '!$L$37),0+(('B1b '!$M$37-'B1b '!$M$36)/('B1b '!$L$37-'B1b '!$L$36))*(W119-'B1b '!$L$36),0))</f>
        <v>15.384615384615385</v>
      </c>
      <c r="Y119" s="612"/>
      <c r="Z119" s="436">
        <v>25</v>
      </c>
      <c r="AA119" s="436">
        <f>IF(Z119&lt;='B1b '!$L$39,'B1b '!$M$39,IF(AND(Z119&lt;='B1b '!$L$38,Z119&gt;'B1b '!$L$39),0+(('B1b '!$M$39-'B1b '!$M$38)/('B1b '!$L$39-'B1b '!$L$38))*(Z119-'B1b '!$L$38),0))</f>
        <v>25</v>
      </c>
      <c r="AB119" s="613"/>
      <c r="AC119" s="436">
        <v>25</v>
      </c>
      <c r="AD119" s="436">
        <f>IF(AC119&lt;='B1b '!$L$41,'B1b '!$M$41,IF(AND(AC119&lt;='B1b '!$L$40,AC119&gt;'B1b '!$L$41),0+(('B1b '!$M$41-'B1b '!$M$40)/('B1b '!$L$41-'B1b '!$L$40))*(AC119-'B1b '!$L$40),0))</f>
        <v>120</v>
      </c>
      <c r="AE119" s="613"/>
      <c r="AF119" s="436">
        <v>25</v>
      </c>
      <c r="AG119" s="436">
        <f>IF(AF119&lt;='B1b '!$L$43,'B1b '!$M$43,IF(AND(AF119&lt;='B1b '!$L$42,AF119&gt;'B1b '!$L$43),0+(('B1b '!$M$43-'B1b '!$M$42)/('B1b '!$L$43-'B1b '!$L$42))*(AF119-'B1b '!$L$42),0))</f>
        <v>0</v>
      </c>
      <c r="AH119" s="183"/>
    </row>
    <row r="120" spans="2:34">
      <c r="B120" s="182"/>
      <c r="C120" s="435">
        <v>26</v>
      </c>
      <c r="D120" s="435">
        <f>IF(C120&lt;='B1b '!$G$35,'B1b '!$H$35,IF(AND(C120&lt;='B1b '!$G$34,C120&gt;'B1b '!$G$35),0+(('B1b '!$H$35-'B1b '!$H$34)/('B1b '!$G$35-'B1b '!$G$34))*(C120-'B1b '!$G$34),0))</f>
        <v>15.476190476190476</v>
      </c>
      <c r="E120" s="611"/>
      <c r="F120" s="435">
        <v>26</v>
      </c>
      <c r="G120" s="435">
        <f>IF(F120&lt;='B1b '!$G$37,'B1b '!$H$37,IF(AND(F120&lt;='B1b '!$G$36,F120&gt;'B1b '!$G$37),0+(('B1b '!$H$37-'B1b '!$H$36)/('B1b '!$G$37-'B1b '!$G$36))*(F120-'B1b '!$G$36),0))</f>
        <v>0</v>
      </c>
      <c r="H120" s="415"/>
      <c r="I120" s="435">
        <v>26</v>
      </c>
      <c r="J120" s="435">
        <f>IF(I120&lt;='B1b '!$G$39,'B1b '!$H$39,IF(AND(I120&lt;='B1b '!$G$38,I120&gt;'B1b '!$G$39),0+(('B1b '!$H$39-'B1b '!$H$38)/('B1b '!$G$39-'B1b '!$G$38))*(I120-'B1b '!$G$38),0))</f>
        <v>6.666666666666667</v>
      </c>
      <c r="K120" s="611"/>
      <c r="L120" s="435">
        <v>26</v>
      </c>
      <c r="M120" s="435">
        <f>IF(L120&lt;='B1b '!$G$41,'B1b '!$H$41,IF(AND(L120&lt;='B1b '!$G$40,L120&gt;'B1b '!$G$41),0+(('B1b '!$H$41-'B1b '!$H$40)/('B1b '!$G$41-'B1b '!$G$40))*(L120-'B1b '!$G$40),0))</f>
        <v>120</v>
      </c>
      <c r="N120" s="611"/>
      <c r="O120" s="435">
        <v>26</v>
      </c>
      <c r="P120" s="435">
        <f>IF(O120&lt;='B1b '!$G$43,'B1b '!$H$43,IF(AND(O120&lt;='B1b '!$G$42,O120&gt;'B1b '!$G$43),0+(('B1b '!$H$43-'B1b '!$H$42)/('B1b '!$G$43-'B1b '!$G$42))*(O120-'B1b '!$G$42),0))</f>
        <v>0</v>
      </c>
      <c r="Q120" s="415"/>
      <c r="R120" s="434"/>
      <c r="S120" s="612"/>
      <c r="T120" s="436">
        <v>26</v>
      </c>
      <c r="U120" s="436">
        <f>IF(T120&lt;='B1b '!$L$35,'B1b '!$M$35,IF(AND(T120&lt;='B1b '!$L$34,T120&gt;'B1b '!$L$35),0+(('B1b '!$M$35-'B1b '!$M$34)/('B1b '!$L$35-'B1b '!$L$34))*(T120-'B1b '!$L$34),0))</f>
        <v>22.5</v>
      </c>
      <c r="V120" s="613"/>
      <c r="W120" s="436">
        <v>26</v>
      </c>
      <c r="X120" s="436">
        <f>IF(W120&lt;='B1b '!$L$37,'B1b '!$M$37,IF(AND(W120&lt;='B1b '!$L$36,W120&gt;'B1b '!$L$37),0+(('B1b '!$M$37-'B1b '!$M$36)/('B1b '!$L$37-'B1b '!$L$36))*(W120-'B1b '!$L$36),0))</f>
        <v>12.307692307692308</v>
      </c>
      <c r="Y120" s="612"/>
      <c r="Z120" s="436">
        <v>26</v>
      </c>
      <c r="AA120" s="436">
        <f>IF(Z120&lt;='B1b '!$L$39,'B1b '!$M$39,IF(AND(Z120&lt;='B1b '!$L$38,Z120&gt;'B1b '!$L$39),0+(('B1b '!$M$39-'B1b '!$M$38)/('B1b '!$L$39-'B1b '!$L$38))*(Z120-'B1b '!$L$38),0))</f>
        <v>24</v>
      </c>
      <c r="AB120" s="613"/>
      <c r="AC120" s="436">
        <v>26</v>
      </c>
      <c r="AD120" s="436">
        <f>IF(AC120&lt;='B1b '!$L$41,'B1b '!$M$41,IF(AND(AC120&lt;='B1b '!$L$40,AC120&gt;'B1b '!$L$41),0+(('B1b '!$M$41-'B1b '!$M$40)/('B1b '!$L$41-'B1b '!$L$40))*(AC120-'B1b '!$L$40),0))</f>
        <v>120</v>
      </c>
      <c r="AE120" s="613"/>
      <c r="AF120" s="436">
        <v>26</v>
      </c>
      <c r="AG120" s="436">
        <f>IF(AF120&lt;='B1b '!$L$43,'B1b '!$M$43,IF(AND(AF120&lt;='B1b '!$L$42,AF120&gt;'B1b '!$L$43),0+(('B1b '!$M$43-'B1b '!$M$42)/('B1b '!$L$43-'B1b '!$L$42))*(AF120-'B1b '!$L$42),0))</f>
        <v>0</v>
      </c>
      <c r="AH120" s="183"/>
    </row>
    <row r="121" spans="2:34">
      <c r="B121" s="182"/>
      <c r="C121" s="435">
        <v>27</v>
      </c>
      <c r="D121" s="435">
        <f>IF(C121&lt;='B1b '!$G$35,'B1b '!$H$35,IF(AND(C121&lt;='B1b '!$G$34,C121&gt;'B1b '!$G$35),0+(('B1b '!$H$35-'B1b '!$H$34)/('B1b '!$G$35-'B1b '!$G$34))*(C121-'B1b '!$G$34),0))</f>
        <v>14.880952380952381</v>
      </c>
      <c r="E121" s="611"/>
      <c r="F121" s="435">
        <v>27</v>
      </c>
      <c r="G121" s="435">
        <f>IF(F121&lt;='B1b '!$G$37,'B1b '!$H$37,IF(AND(F121&lt;='B1b '!$G$36,F121&gt;'B1b '!$G$37),0+(('B1b '!$H$37-'B1b '!$H$36)/('B1b '!$G$37-'B1b '!$G$36))*(F121-'B1b '!$G$36),0))</f>
        <v>0</v>
      </c>
      <c r="H121" s="415"/>
      <c r="I121" s="435">
        <v>27</v>
      </c>
      <c r="J121" s="435">
        <f>IF(I121&lt;='B1b '!$G$39,'B1b '!$H$39,IF(AND(I121&lt;='B1b '!$G$38,I121&gt;'B1b '!$G$39),0+(('B1b '!$H$39-'B1b '!$H$38)/('B1b '!$G$39-'B1b '!$G$38))*(I121-'B1b '!$G$38),0))</f>
        <v>5</v>
      </c>
      <c r="K121" s="611"/>
      <c r="L121" s="435">
        <v>27</v>
      </c>
      <c r="M121" s="435">
        <f>IF(L121&lt;='B1b '!$G$41,'B1b '!$H$41,IF(AND(L121&lt;='B1b '!$G$40,L121&gt;'B1b '!$G$41),0+(('B1b '!$H$41-'B1b '!$H$40)/('B1b '!$G$41-'B1b '!$G$40))*(L121-'B1b '!$G$40),0))</f>
        <v>120</v>
      </c>
      <c r="N121" s="611"/>
      <c r="O121" s="435">
        <v>27</v>
      </c>
      <c r="P121" s="435">
        <f>IF(O121&lt;='B1b '!$G$43,'B1b '!$H$43,IF(AND(O121&lt;='B1b '!$G$42,O121&gt;'B1b '!$G$43),0+(('B1b '!$H$43-'B1b '!$H$42)/('B1b '!$G$43-'B1b '!$G$42))*(O121-'B1b '!$G$42),0))</f>
        <v>0</v>
      </c>
      <c r="Q121" s="415"/>
      <c r="R121" s="434"/>
      <c r="S121" s="612"/>
      <c r="T121" s="436">
        <v>27</v>
      </c>
      <c r="U121" s="436">
        <f>IF(T121&lt;='B1b '!$L$35,'B1b '!$M$35,IF(AND(T121&lt;='B1b '!$L$34,T121&gt;'B1b '!$L$35),0+(('B1b '!$M$35-'B1b '!$M$34)/('B1b '!$L$35-'B1b '!$L$34))*(T121-'B1b '!$L$34),0))</f>
        <v>21.875</v>
      </c>
      <c r="V121" s="613"/>
      <c r="W121" s="436">
        <v>27</v>
      </c>
      <c r="X121" s="436">
        <f>IF(W121&lt;='B1b '!$L$37,'B1b '!$M$37,IF(AND(W121&lt;='B1b '!$L$36,W121&gt;'B1b '!$L$37),0+(('B1b '!$M$37-'B1b '!$M$36)/('B1b '!$L$37-'B1b '!$L$36))*(W121-'B1b '!$L$36),0))</f>
        <v>9.2307692307692317</v>
      </c>
      <c r="Y121" s="612"/>
      <c r="Z121" s="436">
        <v>27</v>
      </c>
      <c r="AA121" s="436">
        <f>IF(Z121&lt;='B1b '!$L$39,'B1b '!$M$39,IF(AND(Z121&lt;='B1b '!$L$38,Z121&gt;'B1b '!$L$39),0+(('B1b '!$M$39-'B1b '!$M$38)/('B1b '!$L$39-'B1b '!$L$38))*(Z121-'B1b '!$L$38),0))</f>
        <v>23</v>
      </c>
      <c r="AB121" s="613"/>
      <c r="AC121" s="436">
        <v>27</v>
      </c>
      <c r="AD121" s="436">
        <f>IF(AC121&lt;='B1b '!$L$41,'B1b '!$M$41,IF(AND(AC121&lt;='B1b '!$L$40,AC121&gt;'B1b '!$L$41),0+(('B1b '!$M$41-'B1b '!$M$40)/('B1b '!$L$41-'B1b '!$L$40))*(AC121-'B1b '!$L$40),0))</f>
        <v>120</v>
      </c>
      <c r="AE121" s="613"/>
      <c r="AF121" s="436">
        <v>27</v>
      </c>
      <c r="AG121" s="436">
        <f>IF(AF121&lt;='B1b '!$L$43,'B1b '!$M$43,IF(AND(AF121&lt;='B1b '!$L$42,AF121&gt;'B1b '!$L$43),0+(('B1b '!$M$43-'B1b '!$M$42)/('B1b '!$L$43-'B1b '!$L$42))*(AF121-'B1b '!$L$42),0))</f>
        <v>0</v>
      </c>
      <c r="AH121" s="183"/>
    </row>
    <row r="122" spans="2:34">
      <c r="B122" s="182"/>
      <c r="C122" s="435">
        <v>28</v>
      </c>
      <c r="D122" s="435">
        <f>IF(C122&lt;='B1b '!$G$35,'B1b '!$H$35,IF(AND(C122&lt;='B1b '!$G$34,C122&gt;'B1b '!$G$35),0+(('B1b '!$H$35-'B1b '!$H$34)/('B1b '!$G$35-'B1b '!$G$34))*(C122-'B1b '!$G$34),0))</f>
        <v>14.285714285714285</v>
      </c>
      <c r="E122" s="611"/>
      <c r="F122" s="435">
        <v>28</v>
      </c>
      <c r="G122" s="435">
        <f>IF(F122&lt;='B1b '!$G$37,'B1b '!$H$37,IF(AND(F122&lt;='B1b '!$G$36,F122&gt;'B1b '!$G$37),0+(('B1b '!$H$37-'B1b '!$H$36)/('B1b '!$G$37-'B1b '!$G$36))*(F122-'B1b '!$G$36),0))</f>
        <v>0</v>
      </c>
      <c r="H122" s="415"/>
      <c r="I122" s="435">
        <v>28</v>
      </c>
      <c r="J122" s="435">
        <f>IF(I122&lt;='B1b '!$G$39,'B1b '!$H$39,IF(AND(I122&lt;='B1b '!$G$38,I122&gt;'B1b '!$G$39),0+(('B1b '!$H$39-'B1b '!$H$38)/('B1b '!$G$39-'B1b '!$G$38))*(I122-'B1b '!$G$38),0))</f>
        <v>3.3333333333333335</v>
      </c>
      <c r="K122" s="611"/>
      <c r="L122" s="435">
        <v>28</v>
      </c>
      <c r="M122" s="435">
        <f>IF(L122&lt;='B1b '!$G$41,'B1b '!$H$41,IF(AND(L122&lt;='B1b '!$G$40,L122&gt;'B1b '!$G$41),0+(('B1b '!$H$41-'B1b '!$H$40)/('B1b '!$G$41-'B1b '!$G$40))*(L122-'B1b '!$G$40),0))</f>
        <v>120</v>
      </c>
      <c r="N122" s="611"/>
      <c r="O122" s="435">
        <v>28</v>
      </c>
      <c r="P122" s="435">
        <f>IF(O122&lt;='B1b '!$G$43,'B1b '!$H$43,IF(AND(O122&lt;='B1b '!$G$42,O122&gt;'B1b '!$G$43),0+(('B1b '!$H$43-'B1b '!$H$42)/('B1b '!$G$43-'B1b '!$G$42))*(O122-'B1b '!$G$42),0))</f>
        <v>0</v>
      </c>
      <c r="Q122" s="415"/>
      <c r="R122" s="434"/>
      <c r="S122" s="612"/>
      <c r="T122" s="436">
        <v>28</v>
      </c>
      <c r="U122" s="436">
        <f>IF(T122&lt;='B1b '!$L$35,'B1b '!$M$35,IF(AND(T122&lt;='B1b '!$L$34,T122&gt;'B1b '!$L$35),0+(('B1b '!$M$35-'B1b '!$M$34)/('B1b '!$L$35-'B1b '!$L$34))*(T122-'B1b '!$L$34),0))</f>
        <v>21.25</v>
      </c>
      <c r="V122" s="613"/>
      <c r="W122" s="436">
        <v>28</v>
      </c>
      <c r="X122" s="436">
        <f>IF(W122&lt;='B1b '!$L$37,'B1b '!$M$37,IF(AND(W122&lt;='B1b '!$L$36,W122&gt;'B1b '!$L$37),0+(('B1b '!$M$37-'B1b '!$M$36)/('B1b '!$L$37-'B1b '!$L$36))*(W122-'B1b '!$L$36),0))</f>
        <v>6.1538461538461542</v>
      </c>
      <c r="Y122" s="612"/>
      <c r="Z122" s="436">
        <v>28</v>
      </c>
      <c r="AA122" s="436">
        <f>IF(Z122&lt;='B1b '!$L$39,'B1b '!$M$39,IF(AND(Z122&lt;='B1b '!$L$38,Z122&gt;'B1b '!$L$39),0+(('B1b '!$M$39-'B1b '!$M$38)/('B1b '!$L$39-'B1b '!$L$38))*(Z122-'B1b '!$L$38),0))</f>
        <v>22</v>
      </c>
      <c r="AB122" s="613"/>
      <c r="AC122" s="436">
        <v>28</v>
      </c>
      <c r="AD122" s="436">
        <f>IF(AC122&lt;='B1b '!$L$41,'B1b '!$M$41,IF(AND(AC122&lt;='B1b '!$L$40,AC122&gt;'B1b '!$L$41),0+(('B1b '!$M$41-'B1b '!$M$40)/('B1b '!$L$41-'B1b '!$L$40))*(AC122-'B1b '!$L$40),0))</f>
        <v>120</v>
      </c>
      <c r="AE122" s="613"/>
      <c r="AF122" s="436">
        <v>28</v>
      </c>
      <c r="AG122" s="436">
        <f>IF(AF122&lt;='B1b '!$L$43,'B1b '!$M$43,IF(AND(AF122&lt;='B1b '!$L$42,AF122&gt;'B1b '!$L$43),0+(('B1b '!$M$43-'B1b '!$M$42)/('B1b '!$L$43-'B1b '!$L$42))*(AF122-'B1b '!$L$42),0))</f>
        <v>0</v>
      </c>
      <c r="AH122" s="183"/>
    </row>
    <row r="123" spans="2:34">
      <c r="B123" s="182"/>
      <c r="C123" s="435">
        <v>29</v>
      </c>
      <c r="D123" s="435">
        <f>IF(C123&lt;='B1b '!$G$35,'B1b '!$H$35,IF(AND(C123&lt;='B1b '!$G$34,C123&gt;'B1b '!$G$35),0+(('B1b '!$H$35-'B1b '!$H$34)/('B1b '!$G$35-'B1b '!$G$34))*(C123-'B1b '!$G$34),0))</f>
        <v>13.69047619047619</v>
      </c>
      <c r="E123" s="611"/>
      <c r="F123" s="435">
        <v>29</v>
      </c>
      <c r="G123" s="435">
        <f>IF(F123&lt;='B1b '!$G$37,'B1b '!$H$37,IF(AND(F123&lt;='B1b '!$G$36,F123&gt;'B1b '!$G$37),0+(('B1b '!$H$37-'B1b '!$H$36)/('B1b '!$G$37-'B1b '!$G$36))*(F123-'B1b '!$G$36),0))</f>
        <v>0</v>
      </c>
      <c r="H123" s="415"/>
      <c r="I123" s="435">
        <v>29</v>
      </c>
      <c r="J123" s="435">
        <f>IF(I123&lt;='B1b '!$G$39,'B1b '!$H$39,IF(AND(I123&lt;='B1b '!$G$38,I123&gt;'B1b '!$G$39),0+(('B1b '!$H$39-'B1b '!$H$38)/('B1b '!$G$39-'B1b '!$G$38))*(I123-'B1b '!$G$38),0))</f>
        <v>1.6666666666666667</v>
      </c>
      <c r="K123" s="611"/>
      <c r="L123" s="435">
        <v>29</v>
      </c>
      <c r="M123" s="435">
        <f>IF(L123&lt;='B1b '!$G$41,'B1b '!$H$41,IF(AND(L123&lt;='B1b '!$G$40,L123&gt;'B1b '!$G$41),0+(('B1b '!$H$41-'B1b '!$H$40)/('B1b '!$G$41-'B1b '!$G$40))*(L123-'B1b '!$G$40),0))</f>
        <v>120</v>
      </c>
      <c r="N123" s="611"/>
      <c r="O123" s="435">
        <v>29</v>
      </c>
      <c r="P123" s="435">
        <f>IF(O123&lt;='B1b '!$G$43,'B1b '!$H$43,IF(AND(O123&lt;='B1b '!$G$42,O123&gt;'B1b '!$G$43),0+(('B1b '!$H$43-'B1b '!$H$42)/('B1b '!$G$43-'B1b '!$G$42))*(O123-'B1b '!$G$42),0))</f>
        <v>0</v>
      </c>
      <c r="Q123" s="415"/>
      <c r="R123" s="434"/>
      <c r="S123" s="612"/>
      <c r="T123" s="436">
        <v>29</v>
      </c>
      <c r="U123" s="436">
        <f>IF(T123&lt;='B1b '!$L$35,'B1b '!$M$35,IF(AND(T123&lt;='B1b '!$L$34,T123&gt;'B1b '!$L$35),0+(('B1b '!$M$35-'B1b '!$M$34)/('B1b '!$L$35-'B1b '!$L$34))*(T123-'B1b '!$L$34),0))</f>
        <v>20.625</v>
      </c>
      <c r="V123" s="613"/>
      <c r="W123" s="436">
        <v>29</v>
      </c>
      <c r="X123" s="436">
        <f>IF(W123&lt;='B1b '!$L$37,'B1b '!$M$37,IF(AND(W123&lt;='B1b '!$L$36,W123&gt;'B1b '!$L$37),0+(('B1b '!$M$37-'B1b '!$M$36)/('B1b '!$L$37-'B1b '!$L$36))*(W123-'B1b '!$L$36),0))</f>
        <v>3.0769230769230771</v>
      </c>
      <c r="Y123" s="612"/>
      <c r="Z123" s="436">
        <v>29</v>
      </c>
      <c r="AA123" s="436">
        <f>IF(Z123&lt;='B1b '!$L$39,'B1b '!$M$39,IF(AND(Z123&lt;='B1b '!$L$38,Z123&gt;'B1b '!$L$39),0+(('B1b '!$M$39-'B1b '!$M$38)/('B1b '!$L$39-'B1b '!$L$38))*(Z123-'B1b '!$L$38),0))</f>
        <v>21</v>
      </c>
      <c r="AB123" s="613"/>
      <c r="AC123" s="436">
        <v>29</v>
      </c>
      <c r="AD123" s="436">
        <f>IF(AC123&lt;='B1b '!$L$41,'B1b '!$M$41,IF(AND(AC123&lt;='B1b '!$L$40,AC123&gt;'B1b '!$L$41),0+(('B1b '!$M$41-'B1b '!$M$40)/('B1b '!$L$41-'B1b '!$L$40))*(AC123-'B1b '!$L$40),0))</f>
        <v>120</v>
      </c>
      <c r="AE123" s="613"/>
      <c r="AF123" s="436">
        <v>29</v>
      </c>
      <c r="AG123" s="436">
        <f>IF(AF123&lt;='B1b '!$L$43,'B1b '!$M$43,IF(AND(AF123&lt;='B1b '!$L$42,AF123&gt;'B1b '!$L$43),0+(('B1b '!$M$43-'B1b '!$M$42)/('B1b '!$L$43-'B1b '!$L$42))*(AF123-'B1b '!$L$42),0))</f>
        <v>0</v>
      </c>
      <c r="AH123" s="183"/>
    </row>
    <row r="124" spans="2:34">
      <c r="B124" s="182"/>
      <c r="C124" s="435">
        <v>30</v>
      </c>
      <c r="D124" s="435">
        <f>IF(C124&lt;='B1b '!$G$35,'B1b '!$H$35,IF(AND(C124&lt;='B1b '!$G$34,C124&gt;'B1b '!$G$35),0+(('B1b '!$H$35-'B1b '!$H$34)/('B1b '!$G$35-'B1b '!$G$34))*(C124-'B1b '!$G$34),0))</f>
        <v>13.095238095238095</v>
      </c>
      <c r="E124" s="611"/>
      <c r="F124" s="435">
        <v>30</v>
      </c>
      <c r="G124" s="435">
        <f>IF(F124&lt;='B1b '!$G$37,'B1b '!$H$37,IF(AND(F124&lt;='B1b '!$G$36,F124&gt;'B1b '!$G$37),0+(('B1b '!$H$37-'B1b '!$H$36)/('B1b '!$G$37-'B1b '!$G$36))*(F124-'B1b '!$G$36),0))</f>
        <v>0</v>
      </c>
      <c r="H124" s="415"/>
      <c r="I124" s="435">
        <v>30</v>
      </c>
      <c r="J124" s="435">
        <f>IF(I124&lt;='B1b '!$G$39,'B1b '!$H$39,IF(AND(I124&lt;='B1b '!$G$38,I124&gt;'B1b '!$G$39),0+(('B1b '!$H$39-'B1b '!$H$38)/('B1b '!$G$39-'B1b '!$G$38))*(I124-'B1b '!$G$38),0))</f>
        <v>0</v>
      </c>
      <c r="K124" s="611"/>
      <c r="L124" s="435">
        <v>30</v>
      </c>
      <c r="M124" s="435">
        <f>IF(L124&lt;='B1b '!$G$41,'B1b '!$H$41,IF(AND(L124&lt;='B1b '!$G$40,L124&gt;'B1b '!$G$41),0+(('B1b '!$H$41-'B1b '!$H$40)/('B1b '!$G$41-'B1b '!$G$40))*(L124-'B1b '!$G$40),0))</f>
        <v>120</v>
      </c>
      <c r="N124" s="611"/>
      <c r="O124" s="435">
        <v>30</v>
      </c>
      <c r="P124" s="435">
        <f>IF(O124&lt;='B1b '!$G$43,'B1b '!$H$43,IF(AND(O124&lt;='B1b '!$G$42,O124&gt;'B1b '!$G$43),0+(('B1b '!$H$43-'B1b '!$H$42)/('B1b '!$G$43-'B1b '!$G$42))*(O124-'B1b '!$G$42),0))</f>
        <v>0</v>
      </c>
      <c r="Q124" s="415"/>
      <c r="R124" s="434"/>
      <c r="S124" s="612"/>
      <c r="T124" s="436">
        <v>30</v>
      </c>
      <c r="U124" s="436">
        <f>IF(T124&lt;='B1b '!$L$35,'B1b '!$M$35,IF(AND(T124&lt;='B1b '!$L$34,T124&gt;'B1b '!$L$35),0+(('B1b '!$M$35-'B1b '!$M$34)/('B1b '!$L$35-'B1b '!$L$34))*(T124-'B1b '!$L$34),0))</f>
        <v>20</v>
      </c>
      <c r="V124" s="613"/>
      <c r="W124" s="436">
        <v>30</v>
      </c>
      <c r="X124" s="436">
        <f>IF(W124&lt;='B1b '!$L$37,'B1b '!$M$37,IF(AND(W124&lt;='B1b '!$L$36,W124&gt;'B1b '!$L$37),0+(('B1b '!$M$37-'B1b '!$M$36)/('B1b '!$L$37-'B1b '!$L$36))*(W124-'B1b '!$L$36),0))</f>
        <v>0</v>
      </c>
      <c r="Y124" s="612"/>
      <c r="Z124" s="436">
        <v>30</v>
      </c>
      <c r="AA124" s="436">
        <f>IF(Z124&lt;='B1b '!$L$39,'B1b '!$M$39,IF(AND(Z124&lt;='B1b '!$L$38,Z124&gt;'B1b '!$L$39),0+(('B1b '!$M$39-'B1b '!$M$38)/('B1b '!$L$39-'B1b '!$L$38))*(Z124-'B1b '!$L$38),0))</f>
        <v>20</v>
      </c>
      <c r="AB124" s="613"/>
      <c r="AC124" s="436">
        <v>30</v>
      </c>
      <c r="AD124" s="436">
        <f>IF(AC124&lt;='B1b '!$L$41,'B1b '!$M$41,IF(AND(AC124&lt;='B1b '!$L$40,AC124&gt;'B1b '!$L$41),0+(('B1b '!$M$41-'B1b '!$M$40)/('B1b '!$L$41-'B1b '!$L$40))*(AC124-'B1b '!$L$40),0))</f>
        <v>120</v>
      </c>
      <c r="AE124" s="613"/>
      <c r="AF124" s="436">
        <v>30</v>
      </c>
      <c r="AG124" s="436">
        <f>IF(AF124&lt;='B1b '!$L$43,'B1b '!$M$43,IF(AND(AF124&lt;='B1b '!$L$42,AF124&gt;'B1b '!$L$43),0+(('B1b '!$M$43-'B1b '!$M$42)/('B1b '!$L$43-'B1b '!$L$42))*(AF124-'B1b '!$L$42),0))</f>
        <v>0</v>
      </c>
      <c r="AH124" s="183"/>
    </row>
    <row r="125" spans="2:34">
      <c r="B125" s="182"/>
      <c r="C125" s="435">
        <v>31</v>
      </c>
      <c r="D125" s="435">
        <f>IF(C125&lt;='B1b '!$G$35,'B1b '!$H$35,IF(AND(C125&lt;='B1b '!$G$34,C125&gt;'B1b '!$G$35),0+(('B1b '!$H$35-'B1b '!$H$34)/('B1b '!$G$35-'B1b '!$G$34))*(C125-'B1b '!$G$34),0))</f>
        <v>12.5</v>
      </c>
      <c r="E125" s="611"/>
      <c r="F125" s="435">
        <v>31</v>
      </c>
      <c r="G125" s="435">
        <f>IF(F125&lt;='B1b '!$G$37,'B1b '!$H$37,IF(AND(F125&lt;='B1b '!$G$36,F125&gt;'B1b '!$G$37),0+(('B1b '!$H$37-'B1b '!$H$36)/('B1b '!$G$37-'B1b '!$G$36))*(F125-'B1b '!$G$36),0))</f>
        <v>0</v>
      </c>
      <c r="H125" s="415"/>
      <c r="I125" s="435">
        <v>31</v>
      </c>
      <c r="J125" s="435">
        <f>IF(I125&lt;='B1b '!$G$39,'B1b '!$H$39,IF(AND(I125&lt;='B1b '!$G$38,I125&gt;'B1b '!$G$39),0+(('B1b '!$H$39-'B1b '!$H$38)/('B1b '!$G$39-'B1b '!$G$38))*(I125-'B1b '!$G$38),0))</f>
        <v>0</v>
      </c>
      <c r="K125" s="611"/>
      <c r="L125" s="435">
        <v>31</v>
      </c>
      <c r="M125" s="435">
        <f>IF(L125&lt;='B1b '!$G$41,'B1b '!$H$41,IF(AND(L125&lt;='B1b '!$G$40,L125&gt;'B1b '!$G$41),0+(('B1b '!$H$41-'B1b '!$H$40)/('B1b '!$G$41-'B1b '!$G$40))*(L125-'B1b '!$G$40),0))</f>
        <v>120</v>
      </c>
      <c r="N125" s="611"/>
      <c r="O125" s="435"/>
      <c r="P125" s="435"/>
      <c r="Q125" s="415"/>
      <c r="R125" s="434"/>
      <c r="S125" s="612"/>
      <c r="T125" s="436">
        <v>31</v>
      </c>
      <c r="U125" s="436">
        <f>IF(T125&lt;='B1b '!$L$35,'B1b '!$M$35,IF(AND(T125&lt;='B1b '!$L$34,T125&gt;'B1b '!$L$35),0+(('B1b '!$M$35-'B1b '!$M$34)/('B1b '!$L$35-'B1b '!$L$34))*(T125-'B1b '!$L$34),0))</f>
        <v>19.375</v>
      </c>
      <c r="V125" s="613"/>
      <c r="W125" s="436">
        <v>31</v>
      </c>
      <c r="X125" s="436">
        <f>IF(W125&lt;='B1b '!$L$37,'B1b '!$M$37,IF(AND(W125&lt;='B1b '!$L$36,W125&gt;'B1b '!$L$37),0+(('B1b '!$M$37-'B1b '!$M$36)/('B1b '!$L$37-'B1b '!$L$36))*(W125-'B1b '!$L$36),0))</f>
        <v>0</v>
      </c>
      <c r="Y125" s="612"/>
      <c r="Z125" s="436">
        <v>31</v>
      </c>
      <c r="AA125" s="436">
        <f>IF(Z125&lt;='B1b '!$L$39,'B1b '!$M$39,IF(AND(Z125&lt;='B1b '!$L$38,Z125&gt;'B1b '!$L$39),0+(('B1b '!$M$39-'B1b '!$M$38)/('B1b '!$L$39-'B1b '!$L$38))*(Z125-'B1b '!$L$38),0))</f>
        <v>19</v>
      </c>
      <c r="AB125" s="613"/>
      <c r="AC125" s="436">
        <v>31</v>
      </c>
      <c r="AD125" s="436">
        <f>IF(AC125&lt;='B1b '!$L$41,'B1b '!$M$41,IF(AND(AC125&lt;='B1b '!$L$40,AC125&gt;'B1b '!$L$41),0+(('B1b '!$M$41-'B1b '!$M$40)/('B1b '!$L$41-'B1b '!$L$40))*(AC125-'B1b '!$L$40),0))</f>
        <v>120</v>
      </c>
      <c r="AE125" s="613"/>
      <c r="AF125" s="436"/>
      <c r="AG125" s="436"/>
      <c r="AH125" s="183"/>
    </row>
    <row r="126" spans="2:34">
      <c r="B126" s="182"/>
      <c r="C126" s="435">
        <v>32</v>
      </c>
      <c r="D126" s="435">
        <f>IF(C126&lt;='B1b '!$G$35,'B1b '!$H$35,IF(AND(C126&lt;='B1b '!$G$34,C126&gt;'B1b '!$G$35),0+(('B1b '!$H$35-'B1b '!$H$34)/('B1b '!$G$35-'B1b '!$G$34))*(C126-'B1b '!$G$34),0))</f>
        <v>11.904761904761905</v>
      </c>
      <c r="E126" s="611"/>
      <c r="F126" s="435">
        <v>32</v>
      </c>
      <c r="G126" s="435">
        <f>IF(F126&lt;='B1b '!$G$37,'B1b '!$H$37,IF(AND(F126&lt;='B1b '!$G$36,F126&gt;'B1b '!$G$37),0+(('B1b '!$H$37-'B1b '!$H$36)/('B1b '!$G$37-'B1b '!$G$36))*(F126-'B1b '!$G$36),0))</f>
        <v>0</v>
      </c>
      <c r="H126" s="415"/>
      <c r="I126" s="435">
        <v>32</v>
      </c>
      <c r="J126" s="435">
        <f>IF(I126&lt;='B1b '!$G$39,'B1b '!$H$39,IF(AND(I126&lt;='B1b '!$G$38,I126&gt;'B1b '!$G$39),0+(('B1b '!$H$39-'B1b '!$H$38)/('B1b '!$G$39-'B1b '!$G$38))*(I126-'B1b '!$G$38),0))</f>
        <v>0</v>
      </c>
      <c r="K126" s="611"/>
      <c r="L126" s="435">
        <v>32</v>
      </c>
      <c r="M126" s="435">
        <f>IF(L126&lt;='B1b '!$G$41,'B1b '!$H$41,IF(AND(L126&lt;='B1b '!$G$40,L126&gt;'B1b '!$G$41),0+(('B1b '!$H$41-'B1b '!$H$40)/('B1b '!$G$41-'B1b '!$G$40))*(L126-'B1b '!$G$40),0))</f>
        <v>120</v>
      </c>
      <c r="N126" s="611"/>
      <c r="O126" s="435"/>
      <c r="P126" s="435"/>
      <c r="Q126" s="415"/>
      <c r="R126" s="434"/>
      <c r="S126" s="612"/>
      <c r="T126" s="436">
        <v>32</v>
      </c>
      <c r="U126" s="436">
        <f>IF(T126&lt;='B1b '!$L$35,'B1b '!$M$35,IF(AND(T126&lt;='B1b '!$L$34,T126&gt;'B1b '!$L$35),0+(('B1b '!$M$35-'B1b '!$M$34)/('B1b '!$L$35-'B1b '!$L$34))*(T126-'B1b '!$L$34),0))</f>
        <v>18.75</v>
      </c>
      <c r="V126" s="613"/>
      <c r="W126" s="436">
        <v>32</v>
      </c>
      <c r="X126" s="436">
        <f>IF(W126&lt;='B1b '!$L$37,'B1b '!$M$37,IF(AND(W126&lt;='B1b '!$L$36,W126&gt;'B1b '!$L$37),0+(('B1b '!$M$37-'B1b '!$M$36)/('B1b '!$L$37-'B1b '!$L$36))*(W126-'B1b '!$L$36),0))</f>
        <v>0</v>
      </c>
      <c r="Y126" s="612"/>
      <c r="Z126" s="436">
        <v>32</v>
      </c>
      <c r="AA126" s="436">
        <f>IF(Z126&lt;='B1b '!$L$39,'B1b '!$M$39,IF(AND(Z126&lt;='B1b '!$L$38,Z126&gt;'B1b '!$L$39),0+(('B1b '!$M$39-'B1b '!$M$38)/('B1b '!$L$39-'B1b '!$L$38))*(Z126-'B1b '!$L$38),0))</f>
        <v>18</v>
      </c>
      <c r="AB126" s="613"/>
      <c r="AC126" s="436">
        <v>32</v>
      </c>
      <c r="AD126" s="436">
        <f>IF(AC126&lt;='B1b '!$L$41,'B1b '!$M$41,IF(AND(AC126&lt;='B1b '!$L$40,AC126&gt;'B1b '!$L$41),0+(('B1b '!$M$41-'B1b '!$M$40)/('B1b '!$L$41-'B1b '!$L$40))*(AC126-'B1b '!$L$40),0))</f>
        <v>120</v>
      </c>
      <c r="AE126" s="613"/>
      <c r="AF126" s="436"/>
      <c r="AG126" s="436"/>
      <c r="AH126" s="183"/>
    </row>
    <row r="127" spans="2:34">
      <c r="B127" s="182"/>
      <c r="C127" s="435">
        <v>33</v>
      </c>
      <c r="D127" s="435">
        <f>IF(C127&lt;='B1b '!$G$35,'B1b '!$H$35,IF(AND(C127&lt;='B1b '!$G$34,C127&gt;'B1b '!$G$35),0+(('B1b '!$H$35-'B1b '!$H$34)/('B1b '!$G$35-'B1b '!$G$34))*(C127-'B1b '!$G$34),0))</f>
        <v>11.30952380952381</v>
      </c>
      <c r="E127" s="611"/>
      <c r="F127" s="435">
        <v>33</v>
      </c>
      <c r="G127" s="435">
        <f>IF(F127&lt;='B1b '!$G$37,'B1b '!$H$37,IF(AND(F127&lt;='B1b '!$G$36,F127&gt;'B1b '!$G$37),0+(('B1b '!$H$37-'B1b '!$H$36)/('B1b '!$G$37-'B1b '!$G$36))*(F127-'B1b '!$G$36),0))</f>
        <v>0</v>
      </c>
      <c r="H127" s="415"/>
      <c r="I127" s="435">
        <v>33</v>
      </c>
      <c r="J127" s="435">
        <f>IF(I127&lt;='B1b '!$G$39,'B1b '!$H$39,IF(AND(I127&lt;='B1b '!$G$38,I127&gt;'B1b '!$G$39),0+(('B1b '!$H$39-'B1b '!$H$38)/('B1b '!$G$39-'B1b '!$G$38))*(I127-'B1b '!$G$38),0))</f>
        <v>0</v>
      </c>
      <c r="K127" s="611"/>
      <c r="L127" s="435">
        <v>33</v>
      </c>
      <c r="M127" s="435">
        <f>IF(L127&lt;='B1b '!$G$41,'B1b '!$H$41,IF(AND(L127&lt;='B1b '!$G$40,L127&gt;'B1b '!$G$41),0+(('B1b '!$H$41-'B1b '!$H$40)/('B1b '!$G$41-'B1b '!$G$40))*(L127-'B1b '!$G$40),0))</f>
        <v>120</v>
      </c>
      <c r="N127" s="611"/>
      <c r="O127" s="435"/>
      <c r="P127" s="435"/>
      <c r="Q127" s="415"/>
      <c r="R127" s="434"/>
      <c r="S127" s="612"/>
      <c r="T127" s="436">
        <v>33</v>
      </c>
      <c r="U127" s="436">
        <f>IF(T127&lt;='B1b '!$L$35,'B1b '!$M$35,IF(AND(T127&lt;='B1b '!$L$34,T127&gt;'B1b '!$L$35),0+(('B1b '!$M$35-'B1b '!$M$34)/('B1b '!$L$35-'B1b '!$L$34))*(T127-'B1b '!$L$34),0))</f>
        <v>18.125</v>
      </c>
      <c r="V127" s="613"/>
      <c r="W127" s="436">
        <v>33</v>
      </c>
      <c r="X127" s="436">
        <f>IF(W127&lt;='B1b '!$L$37,'B1b '!$M$37,IF(AND(W127&lt;='B1b '!$L$36,W127&gt;'B1b '!$L$37),0+(('B1b '!$M$37-'B1b '!$M$36)/('B1b '!$L$37-'B1b '!$L$36))*(W127-'B1b '!$L$36),0))</f>
        <v>0</v>
      </c>
      <c r="Y127" s="612"/>
      <c r="Z127" s="436">
        <v>33</v>
      </c>
      <c r="AA127" s="436">
        <f>IF(Z127&lt;='B1b '!$L$39,'B1b '!$M$39,IF(AND(Z127&lt;='B1b '!$L$38,Z127&gt;'B1b '!$L$39),0+(('B1b '!$M$39-'B1b '!$M$38)/('B1b '!$L$39-'B1b '!$L$38))*(Z127-'B1b '!$L$38),0))</f>
        <v>17</v>
      </c>
      <c r="AB127" s="613"/>
      <c r="AC127" s="436">
        <v>33</v>
      </c>
      <c r="AD127" s="436">
        <f>IF(AC127&lt;='B1b '!$L$41,'B1b '!$M$41,IF(AND(AC127&lt;='B1b '!$L$40,AC127&gt;'B1b '!$L$41),0+(('B1b '!$M$41-'B1b '!$M$40)/('B1b '!$L$41-'B1b '!$L$40))*(AC127-'B1b '!$L$40),0))</f>
        <v>120</v>
      </c>
      <c r="AE127" s="613"/>
      <c r="AF127" s="436"/>
      <c r="AG127" s="436"/>
      <c r="AH127" s="183"/>
    </row>
    <row r="128" spans="2:34">
      <c r="B128" s="182"/>
      <c r="C128" s="435">
        <v>34</v>
      </c>
      <c r="D128" s="435">
        <f>IF(C128&lt;='B1b '!$G$35,'B1b '!$H$35,IF(AND(C128&lt;='B1b '!$G$34,C128&gt;'B1b '!$G$35),0+(('B1b '!$H$35-'B1b '!$H$34)/('B1b '!$G$35-'B1b '!$G$34))*(C128-'B1b '!$G$34),0))</f>
        <v>10.714285714285714</v>
      </c>
      <c r="E128" s="611"/>
      <c r="F128" s="435">
        <v>34</v>
      </c>
      <c r="G128" s="435">
        <f>IF(F128&lt;='B1b '!$G$37,'B1b '!$H$37,IF(AND(F128&lt;='B1b '!$G$36,F128&gt;'B1b '!$G$37),0+(('B1b '!$H$37-'B1b '!$H$36)/('B1b '!$G$37-'B1b '!$G$36))*(F128-'B1b '!$G$36),0))</f>
        <v>0</v>
      </c>
      <c r="H128" s="415"/>
      <c r="I128" s="435">
        <v>34</v>
      </c>
      <c r="J128" s="435">
        <f>IF(I128&lt;='B1b '!$G$39,'B1b '!$H$39,IF(AND(I128&lt;='B1b '!$G$38,I128&gt;'B1b '!$G$39),0+(('B1b '!$H$39-'B1b '!$H$38)/('B1b '!$G$39-'B1b '!$G$38))*(I128-'B1b '!$G$38),0))</f>
        <v>0</v>
      </c>
      <c r="K128" s="611"/>
      <c r="L128" s="435">
        <v>34</v>
      </c>
      <c r="M128" s="435">
        <f>IF(L128&lt;='B1b '!$G$41,'B1b '!$H$41,IF(AND(L128&lt;='B1b '!$G$40,L128&gt;'B1b '!$G$41),0+(('B1b '!$H$41-'B1b '!$H$40)/('B1b '!$G$41-'B1b '!$G$40))*(L128-'B1b '!$G$40),0))</f>
        <v>120</v>
      </c>
      <c r="N128" s="611"/>
      <c r="O128" s="435"/>
      <c r="P128" s="435"/>
      <c r="Q128" s="415"/>
      <c r="R128" s="434"/>
      <c r="S128" s="612"/>
      <c r="T128" s="436">
        <v>34</v>
      </c>
      <c r="U128" s="436">
        <f>IF(T128&lt;='B1b '!$L$35,'B1b '!$M$35,IF(AND(T128&lt;='B1b '!$L$34,T128&gt;'B1b '!$L$35),0+(('B1b '!$M$35-'B1b '!$M$34)/('B1b '!$L$35-'B1b '!$L$34))*(T128-'B1b '!$L$34),0))</f>
        <v>17.5</v>
      </c>
      <c r="V128" s="613"/>
      <c r="W128" s="436">
        <v>34</v>
      </c>
      <c r="X128" s="436">
        <f>IF(W128&lt;='B1b '!$L$37,'B1b '!$M$37,IF(AND(W128&lt;='B1b '!$L$36,W128&gt;'B1b '!$L$37),0+(('B1b '!$M$37-'B1b '!$M$36)/('B1b '!$L$37-'B1b '!$L$36))*(W128-'B1b '!$L$36),0))</f>
        <v>0</v>
      </c>
      <c r="Y128" s="612"/>
      <c r="Z128" s="436">
        <v>34</v>
      </c>
      <c r="AA128" s="436">
        <f>IF(Z128&lt;='B1b '!$L$39,'B1b '!$M$39,IF(AND(Z128&lt;='B1b '!$L$38,Z128&gt;'B1b '!$L$39),0+(('B1b '!$M$39-'B1b '!$M$38)/('B1b '!$L$39-'B1b '!$L$38))*(Z128-'B1b '!$L$38),0))</f>
        <v>16</v>
      </c>
      <c r="AB128" s="613"/>
      <c r="AC128" s="436">
        <v>34</v>
      </c>
      <c r="AD128" s="436">
        <f>IF(AC128&lt;='B1b '!$L$41,'B1b '!$M$41,IF(AND(AC128&lt;='B1b '!$L$40,AC128&gt;'B1b '!$L$41),0+(('B1b '!$M$41-'B1b '!$M$40)/('B1b '!$L$41-'B1b '!$L$40))*(AC128-'B1b '!$L$40),0))</f>
        <v>120</v>
      </c>
      <c r="AE128" s="613"/>
      <c r="AF128" s="436"/>
      <c r="AG128" s="436"/>
      <c r="AH128" s="183"/>
    </row>
    <row r="129" spans="2:34">
      <c r="B129" s="182"/>
      <c r="C129" s="435">
        <v>35</v>
      </c>
      <c r="D129" s="435">
        <f>IF(C129&lt;='B1b '!$G$35,'B1b '!$H$35,IF(AND(C129&lt;='B1b '!$G$34,C129&gt;'B1b '!$G$35),0+(('B1b '!$H$35-'B1b '!$H$34)/('B1b '!$G$35-'B1b '!$G$34))*(C129-'B1b '!$G$34),0))</f>
        <v>10.119047619047619</v>
      </c>
      <c r="E129" s="611"/>
      <c r="F129" s="435">
        <v>35</v>
      </c>
      <c r="G129" s="435">
        <f>IF(F129&lt;='B1b '!$G$37,'B1b '!$H$37,IF(AND(F129&lt;='B1b '!$G$36,F129&gt;'B1b '!$G$37),0+(('B1b '!$H$37-'B1b '!$H$36)/('B1b '!$G$37-'B1b '!$G$36))*(F129-'B1b '!$G$36),0))</f>
        <v>0</v>
      </c>
      <c r="H129" s="415"/>
      <c r="I129" s="435">
        <v>35</v>
      </c>
      <c r="J129" s="435">
        <f>IF(I129&lt;='B1b '!$G$39,'B1b '!$H$39,IF(AND(I129&lt;='B1b '!$G$38,I129&gt;'B1b '!$G$39),0+(('B1b '!$H$39-'B1b '!$H$38)/('B1b '!$G$39-'B1b '!$G$38))*(I129-'B1b '!$G$38),0))</f>
        <v>0</v>
      </c>
      <c r="K129" s="611"/>
      <c r="L129" s="435">
        <v>35</v>
      </c>
      <c r="M129" s="435">
        <f>IF(L129&lt;='B1b '!$G$41,'B1b '!$H$41,IF(AND(L129&lt;='B1b '!$G$40,L129&gt;'B1b '!$G$41),0+(('B1b '!$H$41-'B1b '!$H$40)/('B1b '!$G$41-'B1b '!$G$40))*(L129-'B1b '!$G$40),0))</f>
        <v>120</v>
      </c>
      <c r="N129" s="611"/>
      <c r="O129" s="435"/>
      <c r="P129" s="435"/>
      <c r="Q129" s="415"/>
      <c r="R129" s="434"/>
      <c r="S129" s="612"/>
      <c r="T129" s="436">
        <v>35</v>
      </c>
      <c r="U129" s="436">
        <f>IF(T129&lt;='B1b '!$L$35,'B1b '!$M$35,IF(AND(T129&lt;='B1b '!$L$34,T129&gt;'B1b '!$L$35),0+(('B1b '!$M$35-'B1b '!$M$34)/('B1b '!$L$35-'B1b '!$L$34))*(T129-'B1b '!$L$34),0))</f>
        <v>16.875</v>
      </c>
      <c r="V129" s="613"/>
      <c r="W129" s="436">
        <v>35</v>
      </c>
      <c r="X129" s="436">
        <f>IF(W129&lt;='B1b '!$L$37,'B1b '!$M$37,IF(AND(W129&lt;='B1b '!$L$36,W129&gt;'B1b '!$L$37),0+(('B1b '!$M$37-'B1b '!$M$36)/('B1b '!$L$37-'B1b '!$L$36))*(W129-'B1b '!$L$36),0))</f>
        <v>0</v>
      </c>
      <c r="Y129" s="612"/>
      <c r="Z129" s="436">
        <v>35</v>
      </c>
      <c r="AA129" s="436">
        <f>IF(Z129&lt;='B1b '!$L$39,'B1b '!$M$39,IF(AND(Z129&lt;='B1b '!$L$38,Z129&gt;'B1b '!$L$39),0+(('B1b '!$M$39-'B1b '!$M$38)/('B1b '!$L$39-'B1b '!$L$38))*(Z129-'B1b '!$L$38),0))</f>
        <v>15</v>
      </c>
      <c r="AB129" s="613"/>
      <c r="AC129" s="436">
        <v>35</v>
      </c>
      <c r="AD129" s="436">
        <f>IF(AC129&lt;='B1b '!$L$41,'B1b '!$M$41,IF(AND(AC129&lt;='B1b '!$L$40,AC129&gt;'B1b '!$L$41),0+(('B1b '!$M$41-'B1b '!$M$40)/('B1b '!$L$41-'B1b '!$L$40))*(AC129-'B1b '!$L$40),0))</f>
        <v>120</v>
      </c>
      <c r="AE129" s="613"/>
      <c r="AF129" s="436"/>
      <c r="AG129" s="436"/>
      <c r="AH129" s="183"/>
    </row>
    <row r="130" spans="2:34">
      <c r="B130" s="182"/>
      <c r="C130" s="435">
        <v>36</v>
      </c>
      <c r="D130" s="435">
        <f>IF(C130&lt;='B1b '!$G$35,'B1b '!$H$35,IF(AND(C130&lt;='B1b '!$G$34,C130&gt;'B1b '!$G$35),0+(('B1b '!$H$35-'B1b '!$H$34)/('B1b '!$G$35-'B1b '!$G$34))*(C130-'B1b '!$G$34),0))</f>
        <v>9.5238095238095237</v>
      </c>
      <c r="E130" s="611"/>
      <c r="F130" s="435"/>
      <c r="G130" s="435"/>
      <c r="H130" s="415"/>
      <c r="I130" s="435">
        <v>36</v>
      </c>
      <c r="J130" s="435">
        <f>IF(I130&lt;='B1b '!$G$39,'B1b '!$H$39,IF(AND(I130&lt;='B1b '!$G$38,I130&gt;'B1b '!$G$39),0+(('B1b '!$H$39-'B1b '!$H$38)/('B1b '!$G$39-'B1b '!$G$38))*(I130-'B1b '!$G$38),0))</f>
        <v>0</v>
      </c>
      <c r="K130" s="611"/>
      <c r="L130" s="435">
        <v>36</v>
      </c>
      <c r="M130" s="435">
        <f>IF(L130&lt;='B1b '!$G$41,'B1b '!$H$41,IF(AND(L130&lt;='B1b '!$G$40,L130&gt;'B1b '!$G$41),0+(('B1b '!$H$41-'B1b '!$H$40)/('B1b '!$G$41-'B1b '!$G$40))*(L130-'B1b '!$G$40),0))</f>
        <v>120</v>
      </c>
      <c r="N130" s="611"/>
      <c r="O130" s="435"/>
      <c r="P130" s="435"/>
      <c r="Q130" s="415"/>
      <c r="R130" s="434"/>
      <c r="S130" s="612"/>
      <c r="T130" s="436">
        <v>36</v>
      </c>
      <c r="U130" s="436">
        <f>IF(T130&lt;='B1b '!$L$35,'B1b '!$M$35,IF(AND(T130&lt;='B1b '!$L$34,T130&gt;'B1b '!$L$35),0+(('B1b '!$M$35-'B1b '!$M$34)/('B1b '!$L$35-'B1b '!$L$34))*(T130-'B1b '!$L$34),0))</f>
        <v>16.25</v>
      </c>
      <c r="V130" s="613"/>
      <c r="W130" s="436"/>
      <c r="X130" s="436"/>
      <c r="Y130" s="612"/>
      <c r="Z130" s="436">
        <v>36</v>
      </c>
      <c r="AA130" s="436">
        <f>IF(Z130&lt;='B1b '!$L$39,'B1b '!$M$39,IF(AND(Z130&lt;='B1b '!$L$38,Z130&gt;'B1b '!$L$39),0+(('B1b '!$M$39-'B1b '!$M$38)/('B1b '!$L$39-'B1b '!$L$38))*(Z130-'B1b '!$L$38),0))</f>
        <v>14</v>
      </c>
      <c r="AB130" s="613"/>
      <c r="AC130" s="436">
        <v>36</v>
      </c>
      <c r="AD130" s="436">
        <f>IF(AC130&lt;='B1b '!$L$41,'B1b '!$M$41,IF(AND(AC130&lt;='B1b '!$L$40,AC130&gt;'B1b '!$L$41),0+(('B1b '!$M$41-'B1b '!$M$40)/('B1b '!$L$41-'B1b '!$L$40))*(AC130-'B1b '!$L$40),0))</f>
        <v>120</v>
      </c>
      <c r="AE130" s="613"/>
      <c r="AF130" s="436"/>
      <c r="AG130" s="436"/>
      <c r="AH130" s="183"/>
    </row>
    <row r="131" spans="2:34">
      <c r="B131" s="182"/>
      <c r="C131" s="435">
        <v>37</v>
      </c>
      <c r="D131" s="435">
        <f>IF(C131&lt;='B1b '!$G$35,'B1b '!$H$35,IF(AND(C131&lt;='B1b '!$G$34,C131&gt;'B1b '!$G$35),0+(('B1b '!$H$35-'B1b '!$H$34)/('B1b '!$G$35-'B1b '!$G$34))*(C131-'B1b '!$G$34),0))</f>
        <v>8.9285714285714288</v>
      </c>
      <c r="E131" s="611"/>
      <c r="F131" s="435"/>
      <c r="G131" s="435"/>
      <c r="H131" s="415"/>
      <c r="I131" s="435">
        <v>37</v>
      </c>
      <c r="J131" s="435">
        <f>IF(I131&lt;='B1b '!$G$39,'B1b '!$H$39,IF(AND(I131&lt;='B1b '!$G$38,I131&gt;'B1b '!$G$39),0+(('B1b '!$H$39-'B1b '!$H$38)/('B1b '!$G$39-'B1b '!$G$38))*(I131-'B1b '!$G$38),0))</f>
        <v>0</v>
      </c>
      <c r="K131" s="611"/>
      <c r="L131" s="435">
        <v>37</v>
      </c>
      <c r="M131" s="435">
        <f>IF(L131&lt;='B1b '!$G$41,'B1b '!$H$41,IF(AND(L131&lt;='B1b '!$G$40,L131&gt;'B1b '!$G$41),0+(('B1b '!$H$41-'B1b '!$H$40)/('B1b '!$G$41-'B1b '!$G$40))*(L131-'B1b '!$G$40),0))</f>
        <v>120</v>
      </c>
      <c r="N131" s="611"/>
      <c r="O131" s="435"/>
      <c r="P131" s="435"/>
      <c r="Q131" s="415"/>
      <c r="R131" s="434"/>
      <c r="S131" s="612"/>
      <c r="T131" s="436">
        <v>37</v>
      </c>
      <c r="U131" s="436">
        <f>IF(T131&lt;='B1b '!$L$35,'B1b '!$M$35,IF(AND(T131&lt;='B1b '!$L$34,T131&gt;'B1b '!$L$35),0+(('B1b '!$M$35-'B1b '!$M$34)/('B1b '!$L$35-'B1b '!$L$34))*(T131-'B1b '!$L$34),0))</f>
        <v>15.625</v>
      </c>
      <c r="V131" s="613"/>
      <c r="W131" s="436"/>
      <c r="X131" s="436"/>
      <c r="Y131" s="612"/>
      <c r="Z131" s="436">
        <v>37</v>
      </c>
      <c r="AA131" s="436">
        <f>IF(Z131&lt;='B1b '!$L$39,'B1b '!$M$39,IF(AND(Z131&lt;='B1b '!$L$38,Z131&gt;'B1b '!$L$39),0+(('B1b '!$M$39-'B1b '!$M$38)/('B1b '!$L$39-'B1b '!$L$38))*(Z131-'B1b '!$L$38),0))</f>
        <v>13</v>
      </c>
      <c r="AB131" s="613"/>
      <c r="AC131" s="436">
        <v>37</v>
      </c>
      <c r="AD131" s="436">
        <f>IF(AC131&lt;='B1b '!$L$41,'B1b '!$M$41,IF(AND(AC131&lt;='B1b '!$L$40,AC131&gt;'B1b '!$L$41),0+(('B1b '!$M$41-'B1b '!$M$40)/('B1b '!$L$41-'B1b '!$L$40))*(AC131-'B1b '!$L$40),0))</f>
        <v>120</v>
      </c>
      <c r="AE131" s="613"/>
      <c r="AF131" s="436"/>
      <c r="AG131" s="436"/>
      <c r="AH131" s="183"/>
    </row>
    <row r="132" spans="2:34">
      <c r="B132" s="182"/>
      <c r="C132" s="435">
        <v>38</v>
      </c>
      <c r="D132" s="435">
        <f>IF(C132&lt;='B1b '!$G$35,'B1b '!$H$35,IF(AND(C132&lt;='B1b '!$G$34,C132&gt;'B1b '!$G$35),0+(('B1b '!$H$35-'B1b '!$H$34)/('B1b '!$G$35-'B1b '!$G$34))*(C132-'B1b '!$G$34),0))</f>
        <v>8.3333333333333339</v>
      </c>
      <c r="E132" s="611"/>
      <c r="F132" s="435"/>
      <c r="G132" s="435"/>
      <c r="H132" s="415"/>
      <c r="I132" s="435">
        <v>38</v>
      </c>
      <c r="J132" s="435">
        <f>IF(I132&lt;='B1b '!$G$39,'B1b '!$H$39,IF(AND(I132&lt;='B1b '!$G$38,I132&gt;'B1b '!$G$39),0+(('B1b '!$H$39-'B1b '!$H$38)/('B1b '!$G$39-'B1b '!$G$38))*(I132-'B1b '!$G$38),0))</f>
        <v>0</v>
      </c>
      <c r="K132" s="611"/>
      <c r="L132" s="435">
        <v>38</v>
      </c>
      <c r="M132" s="435">
        <f>IF(L132&lt;='B1b '!$G$41,'B1b '!$H$41,IF(AND(L132&lt;='B1b '!$G$40,L132&gt;'B1b '!$G$41),0+(('B1b '!$H$41-'B1b '!$H$40)/('B1b '!$G$41-'B1b '!$G$40))*(L132-'B1b '!$G$40),0))</f>
        <v>120</v>
      </c>
      <c r="N132" s="611"/>
      <c r="O132" s="435"/>
      <c r="P132" s="435"/>
      <c r="Q132" s="415"/>
      <c r="R132" s="434"/>
      <c r="S132" s="612"/>
      <c r="T132" s="436">
        <v>38</v>
      </c>
      <c r="U132" s="436">
        <f>IF(T132&lt;='B1b '!$L$35,'B1b '!$M$35,IF(AND(T132&lt;='B1b '!$L$34,T132&gt;'B1b '!$L$35),0+(('B1b '!$M$35-'B1b '!$M$34)/('B1b '!$L$35-'B1b '!$L$34))*(T132-'B1b '!$L$34),0))</f>
        <v>15</v>
      </c>
      <c r="V132" s="613"/>
      <c r="W132" s="436"/>
      <c r="X132" s="436"/>
      <c r="Y132" s="612"/>
      <c r="Z132" s="436">
        <v>38</v>
      </c>
      <c r="AA132" s="436">
        <f>IF(Z132&lt;='B1b '!$L$39,'B1b '!$M$39,IF(AND(Z132&lt;='B1b '!$L$38,Z132&gt;'B1b '!$L$39),0+(('B1b '!$M$39-'B1b '!$M$38)/('B1b '!$L$39-'B1b '!$L$38))*(Z132-'B1b '!$L$38),0))</f>
        <v>12</v>
      </c>
      <c r="AB132" s="613"/>
      <c r="AC132" s="436">
        <v>38</v>
      </c>
      <c r="AD132" s="436">
        <f>IF(AC132&lt;='B1b '!$L$41,'B1b '!$M$41,IF(AND(AC132&lt;='B1b '!$L$40,AC132&gt;'B1b '!$L$41),0+(('B1b '!$M$41-'B1b '!$M$40)/('B1b '!$L$41-'B1b '!$L$40))*(AC132-'B1b '!$L$40),0))</f>
        <v>120</v>
      </c>
      <c r="AE132" s="613"/>
      <c r="AF132" s="436"/>
      <c r="AG132" s="436"/>
      <c r="AH132" s="183"/>
    </row>
    <row r="133" spans="2:34">
      <c r="B133" s="182"/>
      <c r="C133" s="435">
        <v>39</v>
      </c>
      <c r="D133" s="435">
        <f>IF(C133&lt;='B1b '!$G$35,'B1b '!$H$35,IF(AND(C133&lt;='B1b '!$G$34,C133&gt;'B1b '!$G$35),0+(('B1b '!$H$35-'B1b '!$H$34)/('B1b '!$G$35-'B1b '!$G$34))*(C133-'B1b '!$G$34),0))</f>
        <v>7.7380952380952381</v>
      </c>
      <c r="E133" s="611"/>
      <c r="F133" s="435"/>
      <c r="G133" s="435"/>
      <c r="H133" s="415"/>
      <c r="I133" s="435">
        <v>39</v>
      </c>
      <c r="J133" s="435">
        <f>IF(I133&lt;='B1b '!$G$39,'B1b '!$H$39,IF(AND(I133&lt;='B1b '!$G$38,I133&gt;'B1b '!$G$39),0+(('B1b '!$H$39-'B1b '!$H$38)/('B1b '!$G$39-'B1b '!$G$38))*(I133-'B1b '!$G$38),0))</f>
        <v>0</v>
      </c>
      <c r="K133" s="611"/>
      <c r="L133" s="435">
        <v>39</v>
      </c>
      <c r="M133" s="435">
        <f>IF(L133&lt;='B1b '!$G$41,'B1b '!$H$41,IF(AND(L133&lt;='B1b '!$G$40,L133&gt;'B1b '!$G$41),0+(('B1b '!$H$41-'B1b '!$H$40)/('B1b '!$G$41-'B1b '!$G$40))*(L133-'B1b '!$G$40),0))</f>
        <v>120</v>
      </c>
      <c r="N133" s="611"/>
      <c r="O133" s="435"/>
      <c r="P133" s="435"/>
      <c r="Q133" s="415"/>
      <c r="R133" s="434"/>
      <c r="S133" s="612"/>
      <c r="T133" s="436">
        <v>39</v>
      </c>
      <c r="U133" s="436">
        <f>IF(T133&lt;='B1b '!$L$35,'B1b '!$M$35,IF(AND(T133&lt;='B1b '!$L$34,T133&gt;'B1b '!$L$35),0+(('B1b '!$M$35-'B1b '!$M$34)/('B1b '!$L$35-'B1b '!$L$34))*(T133-'B1b '!$L$34),0))</f>
        <v>14.375</v>
      </c>
      <c r="V133" s="613"/>
      <c r="W133" s="436"/>
      <c r="X133" s="436"/>
      <c r="Y133" s="612"/>
      <c r="Z133" s="436">
        <v>39</v>
      </c>
      <c r="AA133" s="436">
        <f>IF(Z133&lt;='B1b '!$L$39,'B1b '!$M$39,IF(AND(Z133&lt;='B1b '!$L$38,Z133&gt;'B1b '!$L$39),0+(('B1b '!$M$39-'B1b '!$M$38)/('B1b '!$L$39-'B1b '!$L$38))*(Z133-'B1b '!$L$38),0))</f>
        <v>11</v>
      </c>
      <c r="AB133" s="613"/>
      <c r="AC133" s="436">
        <v>39</v>
      </c>
      <c r="AD133" s="436">
        <f>IF(AC133&lt;='B1b '!$L$41,'B1b '!$M$41,IF(AND(AC133&lt;='B1b '!$L$40,AC133&gt;'B1b '!$L$41),0+(('B1b '!$M$41-'B1b '!$M$40)/('B1b '!$L$41-'B1b '!$L$40))*(AC133-'B1b '!$L$40),0))</f>
        <v>120</v>
      </c>
      <c r="AE133" s="613"/>
      <c r="AF133" s="436"/>
      <c r="AG133" s="436"/>
      <c r="AH133" s="183"/>
    </row>
    <row r="134" spans="2:34">
      <c r="B134" s="182"/>
      <c r="C134" s="435">
        <v>40</v>
      </c>
      <c r="D134" s="435">
        <f>IF(C134&lt;='B1b '!$G$35,'B1b '!$H$35,IF(AND(C134&lt;='B1b '!$G$34,C134&gt;'B1b '!$G$35),0+(('B1b '!$H$35-'B1b '!$H$34)/('B1b '!$G$35-'B1b '!$G$34))*(C134-'B1b '!$G$34),0))</f>
        <v>7.1428571428571423</v>
      </c>
      <c r="E134" s="611"/>
      <c r="F134" s="435"/>
      <c r="G134" s="435"/>
      <c r="H134" s="415"/>
      <c r="I134" s="435">
        <v>40</v>
      </c>
      <c r="J134" s="435">
        <f>IF(I134&lt;='B1b '!$G$39,'B1b '!$H$39,IF(AND(I134&lt;='B1b '!$G$38,I134&gt;'B1b '!$G$39),0+(('B1b '!$H$39-'B1b '!$H$38)/('B1b '!$G$39-'B1b '!$G$38))*(I134-'B1b '!$G$38),0))</f>
        <v>0</v>
      </c>
      <c r="K134" s="611"/>
      <c r="L134" s="435">
        <v>40</v>
      </c>
      <c r="M134" s="435">
        <f>IF(L134&lt;='B1b '!$G$41,'B1b '!$H$41,IF(AND(L134&lt;='B1b '!$G$40,L134&gt;'B1b '!$G$41),0+(('B1b '!$H$41-'B1b '!$H$40)/('B1b '!$G$41-'B1b '!$G$40))*(L134-'B1b '!$G$40),0))</f>
        <v>120</v>
      </c>
      <c r="N134" s="611"/>
      <c r="O134" s="435"/>
      <c r="P134" s="435"/>
      <c r="Q134" s="415"/>
      <c r="R134" s="434"/>
      <c r="S134" s="612"/>
      <c r="T134" s="436">
        <v>40</v>
      </c>
      <c r="U134" s="436">
        <f>IF(T134&lt;='B1b '!$L$35,'B1b '!$M$35,IF(AND(T134&lt;='B1b '!$L$34,T134&gt;'B1b '!$L$35),0+(('B1b '!$M$35-'B1b '!$M$34)/('B1b '!$L$35-'B1b '!$L$34))*(T134-'B1b '!$L$34),0))</f>
        <v>13.75</v>
      </c>
      <c r="V134" s="613"/>
      <c r="W134" s="436"/>
      <c r="X134" s="436"/>
      <c r="Y134" s="612"/>
      <c r="Z134" s="436">
        <v>40</v>
      </c>
      <c r="AA134" s="436">
        <f>IF(Z134&lt;='B1b '!$L$39,'B1b '!$M$39,IF(AND(Z134&lt;='B1b '!$L$38,Z134&gt;'B1b '!$L$39),0+(('B1b '!$M$39-'B1b '!$M$38)/('B1b '!$L$39-'B1b '!$L$38))*(Z134-'B1b '!$L$38),0))</f>
        <v>10</v>
      </c>
      <c r="AB134" s="613"/>
      <c r="AC134" s="436">
        <v>40</v>
      </c>
      <c r="AD134" s="436">
        <f>IF(AC134&lt;='B1b '!$L$41,'B1b '!$M$41,IF(AND(AC134&lt;='B1b '!$L$40,AC134&gt;'B1b '!$L$41),0+(('B1b '!$M$41-'B1b '!$M$40)/('B1b '!$L$41-'B1b '!$L$40))*(AC134-'B1b '!$L$40),0))</f>
        <v>120</v>
      </c>
      <c r="AE134" s="613"/>
      <c r="AF134" s="436"/>
      <c r="AG134" s="436"/>
      <c r="AH134" s="183"/>
    </row>
    <row r="135" spans="2:34">
      <c r="B135" s="182"/>
      <c r="C135" s="435">
        <v>41</v>
      </c>
      <c r="D135" s="435">
        <f>IF(C135&lt;='B1b '!$G$35,'B1b '!$H$35,IF(AND(C135&lt;='B1b '!$G$34,C135&gt;'B1b '!$G$35),0+(('B1b '!$H$35-'B1b '!$H$34)/('B1b '!$G$35-'B1b '!$G$34))*(C135-'B1b '!$G$34),0))</f>
        <v>6.5476190476190474</v>
      </c>
      <c r="E135" s="611"/>
      <c r="F135" s="435"/>
      <c r="G135" s="435"/>
      <c r="H135" s="415"/>
      <c r="I135" s="435"/>
      <c r="J135" s="435"/>
      <c r="K135" s="611"/>
      <c r="L135" s="435">
        <v>41</v>
      </c>
      <c r="M135" s="435">
        <f>IF(L135&lt;='B1b '!$G$41,'B1b '!$H$41,IF(AND(L135&lt;='B1b '!$G$40,L135&gt;'B1b '!$G$41),0+(('B1b '!$H$41-'B1b '!$H$40)/('B1b '!$G$41-'B1b '!$G$40))*(L135-'B1b '!$G$40),0))</f>
        <v>120</v>
      </c>
      <c r="N135" s="611"/>
      <c r="O135" s="435"/>
      <c r="P135" s="435"/>
      <c r="Q135" s="415"/>
      <c r="R135" s="434"/>
      <c r="S135" s="612"/>
      <c r="T135" s="436">
        <v>41</v>
      </c>
      <c r="U135" s="436">
        <f>IF(T135&lt;='B1b '!$L$35,'B1b '!$M$35,IF(AND(T135&lt;='B1b '!$L$34,T135&gt;'B1b '!$L$35),0+(('B1b '!$M$35-'B1b '!$M$34)/('B1b '!$L$35-'B1b '!$L$34))*(T135-'B1b '!$L$34),0))</f>
        <v>13.125</v>
      </c>
      <c r="V135" s="613"/>
      <c r="W135" s="436"/>
      <c r="X135" s="436"/>
      <c r="Y135" s="612"/>
      <c r="Z135" s="436">
        <v>41</v>
      </c>
      <c r="AA135" s="436">
        <f>IF(Z135&lt;='B1b '!$L$39,'B1b '!$M$39,IF(AND(Z135&lt;='B1b '!$L$38,Z135&gt;'B1b '!$L$39),0+(('B1b '!$M$39-'B1b '!$M$38)/('B1b '!$L$39-'B1b '!$L$38))*(Z135-'B1b '!$L$38),0))</f>
        <v>9</v>
      </c>
      <c r="AB135" s="613"/>
      <c r="AC135" s="436">
        <v>41</v>
      </c>
      <c r="AD135" s="436">
        <f>IF(AC135&lt;='B1b '!$L$41,'B1b '!$M$41,IF(AND(AC135&lt;='B1b '!$L$40,AC135&gt;'B1b '!$L$41),0+(('B1b '!$M$41-'B1b '!$M$40)/('B1b '!$L$41-'B1b '!$L$40))*(AC135-'B1b '!$L$40),0))</f>
        <v>120</v>
      </c>
      <c r="AE135" s="613"/>
      <c r="AF135" s="436"/>
      <c r="AG135" s="436"/>
      <c r="AH135" s="183"/>
    </row>
    <row r="136" spans="2:34">
      <c r="B136" s="182"/>
      <c r="C136" s="435">
        <v>42</v>
      </c>
      <c r="D136" s="435">
        <f>IF(C136&lt;='B1b '!$G$35,'B1b '!$H$35,IF(AND(C136&lt;='B1b '!$G$34,C136&gt;'B1b '!$G$35),0+(('B1b '!$H$35-'B1b '!$H$34)/('B1b '!$G$35-'B1b '!$G$34))*(C136-'B1b '!$G$34),0))</f>
        <v>5.9523809523809526</v>
      </c>
      <c r="E136" s="611"/>
      <c r="F136" s="435"/>
      <c r="G136" s="435"/>
      <c r="H136" s="415"/>
      <c r="I136" s="435"/>
      <c r="J136" s="435"/>
      <c r="K136" s="611"/>
      <c r="L136" s="435">
        <v>42</v>
      </c>
      <c r="M136" s="435">
        <f>IF(L136&lt;='B1b '!$G$41,'B1b '!$H$41,IF(AND(L136&lt;='B1b '!$G$40,L136&gt;'B1b '!$G$41),0+(('B1b '!$H$41-'B1b '!$H$40)/('B1b '!$G$41-'B1b '!$G$40))*(L136-'B1b '!$G$40),0))</f>
        <v>120</v>
      </c>
      <c r="N136" s="611"/>
      <c r="O136" s="435"/>
      <c r="P136" s="435"/>
      <c r="Q136" s="415"/>
      <c r="R136" s="434"/>
      <c r="S136" s="612"/>
      <c r="T136" s="436">
        <v>42</v>
      </c>
      <c r="U136" s="436">
        <f>IF(T136&lt;='B1b '!$L$35,'B1b '!$M$35,IF(AND(T136&lt;='B1b '!$L$34,T136&gt;'B1b '!$L$35),0+(('B1b '!$M$35-'B1b '!$M$34)/('B1b '!$L$35-'B1b '!$L$34))*(T136-'B1b '!$L$34),0))</f>
        <v>12.5</v>
      </c>
      <c r="V136" s="613"/>
      <c r="W136" s="436"/>
      <c r="X136" s="436"/>
      <c r="Y136" s="612"/>
      <c r="Z136" s="436">
        <v>42</v>
      </c>
      <c r="AA136" s="436">
        <f>IF(Z136&lt;='B1b '!$L$39,'B1b '!$M$39,IF(AND(Z136&lt;='B1b '!$L$38,Z136&gt;'B1b '!$L$39),0+(('B1b '!$M$39-'B1b '!$M$38)/('B1b '!$L$39-'B1b '!$L$38))*(Z136-'B1b '!$L$38),0))</f>
        <v>8</v>
      </c>
      <c r="AB136" s="613"/>
      <c r="AC136" s="436">
        <v>42</v>
      </c>
      <c r="AD136" s="436">
        <f>IF(AC136&lt;='B1b '!$L$41,'B1b '!$M$41,IF(AND(AC136&lt;='B1b '!$L$40,AC136&gt;'B1b '!$L$41),0+(('B1b '!$M$41-'B1b '!$M$40)/('B1b '!$L$41-'B1b '!$L$40))*(AC136-'B1b '!$L$40),0))</f>
        <v>120</v>
      </c>
      <c r="AE136" s="613"/>
      <c r="AF136" s="436"/>
      <c r="AG136" s="436"/>
      <c r="AH136" s="183"/>
    </row>
    <row r="137" spans="2:34">
      <c r="B137" s="182"/>
      <c r="C137" s="435">
        <v>43</v>
      </c>
      <c r="D137" s="435">
        <f>IF(C137&lt;='B1b '!$G$35,'B1b '!$H$35,IF(AND(C137&lt;='B1b '!$G$34,C137&gt;'B1b '!$G$35),0+(('B1b '!$H$35-'B1b '!$H$34)/('B1b '!$G$35-'B1b '!$G$34))*(C137-'B1b '!$G$34),0))</f>
        <v>5.3571428571428568</v>
      </c>
      <c r="E137" s="611"/>
      <c r="F137" s="435"/>
      <c r="G137" s="435"/>
      <c r="H137" s="415"/>
      <c r="I137" s="435"/>
      <c r="J137" s="435"/>
      <c r="K137" s="611"/>
      <c r="L137" s="435">
        <v>43</v>
      </c>
      <c r="M137" s="435">
        <f>IF(L137&lt;='B1b '!$G$41,'B1b '!$H$41,IF(AND(L137&lt;='B1b '!$G$40,L137&gt;'B1b '!$G$41),0+(('B1b '!$H$41-'B1b '!$H$40)/('B1b '!$G$41-'B1b '!$G$40))*(L137-'B1b '!$G$40),0))</f>
        <v>120</v>
      </c>
      <c r="N137" s="611"/>
      <c r="O137" s="435"/>
      <c r="P137" s="435"/>
      <c r="Q137" s="415"/>
      <c r="R137" s="434"/>
      <c r="S137" s="612"/>
      <c r="T137" s="436">
        <v>43</v>
      </c>
      <c r="U137" s="436">
        <f>IF(T137&lt;='B1b '!$L$35,'B1b '!$M$35,IF(AND(T137&lt;='B1b '!$L$34,T137&gt;'B1b '!$L$35),0+(('B1b '!$M$35-'B1b '!$M$34)/('B1b '!$L$35-'B1b '!$L$34))*(T137-'B1b '!$L$34),0))</f>
        <v>11.875</v>
      </c>
      <c r="V137" s="613"/>
      <c r="W137" s="436"/>
      <c r="X137" s="436"/>
      <c r="Y137" s="612"/>
      <c r="Z137" s="436">
        <v>43</v>
      </c>
      <c r="AA137" s="436">
        <f>IF(Z137&lt;='B1b '!$L$39,'B1b '!$M$39,IF(AND(Z137&lt;='B1b '!$L$38,Z137&gt;'B1b '!$L$39),0+(('B1b '!$M$39-'B1b '!$M$38)/('B1b '!$L$39-'B1b '!$L$38))*(Z137-'B1b '!$L$38),0))</f>
        <v>7</v>
      </c>
      <c r="AB137" s="613"/>
      <c r="AC137" s="436">
        <v>43</v>
      </c>
      <c r="AD137" s="436">
        <f>IF(AC137&lt;='B1b '!$L$41,'B1b '!$M$41,IF(AND(AC137&lt;='B1b '!$L$40,AC137&gt;'B1b '!$L$41),0+(('B1b '!$M$41-'B1b '!$M$40)/('B1b '!$L$41-'B1b '!$L$40))*(AC137-'B1b '!$L$40),0))</f>
        <v>120</v>
      </c>
      <c r="AE137" s="613"/>
      <c r="AF137" s="436"/>
      <c r="AG137" s="436"/>
      <c r="AH137" s="183"/>
    </row>
    <row r="138" spans="2:34">
      <c r="B138" s="182"/>
      <c r="C138" s="435">
        <v>44</v>
      </c>
      <c r="D138" s="435">
        <f>IF(C138&lt;='B1b '!$G$35,'B1b '!$H$35,IF(AND(C138&lt;='B1b '!$G$34,C138&gt;'B1b '!$G$35),0+(('B1b '!$H$35-'B1b '!$H$34)/('B1b '!$G$35-'B1b '!$G$34))*(C138-'B1b '!$G$34),0))</f>
        <v>4.7619047619047619</v>
      </c>
      <c r="E138" s="611"/>
      <c r="F138" s="435"/>
      <c r="G138" s="435"/>
      <c r="H138" s="415"/>
      <c r="I138" s="435"/>
      <c r="J138" s="435"/>
      <c r="K138" s="611"/>
      <c r="L138" s="435">
        <v>44</v>
      </c>
      <c r="M138" s="435">
        <f>IF(L138&lt;='B1b '!$G$41,'B1b '!$H$41,IF(AND(L138&lt;='B1b '!$G$40,L138&gt;'B1b '!$G$41),0+(('B1b '!$H$41-'B1b '!$H$40)/('B1b '!$G$41-'B1b '!$G$40))*(L138-'B1b '!$G$40),0))</f>
        <v>118.26086956521739</v>
      </c>
      <c r="N138" s="611"/>
      <c r="O138" s="435"/>
      <c r="P138" s="435"/>
      <c r="Q138" s="415"/>
      <c r="R138" s="434"/>
      <c r="S138" s="612"/>
      <c r="T138" s="436">
        <v>44</v>
      </c>
      <c r="U138" s="436">
        <f>IF(T138&lt;='B1b '!$L$35,'B1b '!$M$35,IF(AND(T138&lt;='B1b '!$L$34,T138&gt;'B1b '!$L$35),0+(('B1b '!$M$35-'B1b '!$M$34)/('B1b '!$L$35-'B1b '!$L$34))*(T138-'B1b '!$L$34),0))</f>
        <v>11.25</v>
      </c>
      <c r="V138" s="613"/>
      <c r="W138" s="436"/>
      <c r="X138" s="436"/>
      <c r="Y138" s="612"/>
      <c r="Z138" s="436">
        <v>44</v>
      </c>
      <c r="AA138" s="436">
        <f>IF(Z138&lt;='B1b '!$L$39,'B1b '!$M$39,IF(AND(Z138&lt;='B1b '!$L$38,Z138&gt;'B1b '!$L$39),0+(('B1b '!$M$39-'B1b '!$M$38)/('B1b '!$L$39-'B1b '!$L$38))*(Z138-'B1b '!$L$38),0))</f>
        <v>6</v>
      </c>
      <c r="AB138" s="613"/>
      <c r="AC138" s="436">
        <v>44</v>
      </c>
      <c r="AD138" s="436">
        <f>IF(AC138&lt;='B1b '!$L$41,'B1b '!$M$41,IF(AND(AC138&lt;='B1b '!$L$40,AC138&gt;'B1b '!$L$41),0+(('B1b '!$M$41-'B1b '!$M$40)/('B1b '!$L$41-'B1b '!$L$40))*(AC138-'B1b '!$L$40),0))</f>
        <v>118.83495145631068</v>
      </c>
      <c r="AE138" s="613"/>
      <c r="AF138" s="436"/>
      <c r="AG138" s="436"/>
      <c r="AH138" s="183"/>
    </row>
    <row r="139" spans="2:34">
      <c r="B139" s="182"/>
      <c r="C139" s="435">
        <v>45</v>
      </c>
      <c r="D139" s="435">
        <f>IF(C139&lt;='B1b '!$G$35,'B1b '!$H$35,IF(AND(C139&lt;='B1b '!$G$34,C139&gt;'B1b '!$G$35),0+(('B1b '!$H$35-'B1b '!$H$34)/('B1b '!$G$35-'B1b '!$G$34))*(C139-'B1b '!$G$34),0))</f>
        <v>4.166666666666667</v>
      </c>
      <c r="E139" s="611"/>
      <c r="F139" s="435"/>
      <c r="G139" s="435"/>
      <c r="H139" s="415"/>
      <c r="I139" s="435"/>
      <c r="J139" s="435"/>
      <c r="K139" s="611"/>
      <c r="L139" s="435">
        <v>45</v>
      </c>
      <c r="M139" s="435">
        <f>IF(L139&lt;='B1b '!$G$41,'B1b '!$H$41,IF(AND(L139&lt;='B1b '!$G$40,L139&gt;'B1b '!$G$41),0+(('B1b '!$H$41-'B1b '!$H$40)/('B1b '!$G$41-'B1b '!$G$40))*(L139-'B1b '!$G$40),0))</f>
        <v>116.52173913043478</v>
      </c>
      <c r="N139" s="611"/>
      <c r="O139" s="435"/>
      <c r="P139" s="435"/>
      <c r="Q139" s="415"/>
      <c r="R139" s="434"/>
      <c r="S139" s="612"/>
      <c r="T139" s="436">
        <v>45</v>
      </c>
      <c r="U139" s="436">
        <f>IF(T139&lt;='B1b '!$L$35,'B1b '!$M$35,IF(AND(T139&lt;='B1b '!$L$34,T139&gt;'B1b '!$L$35),0+(('B1b '!$M$35-'B1b '!$M$34)/('B1b '!$L$35-'B1b '!$L$34))*(T139-'B1b '!$L$34),0))</f>
        <v>10.625</v>
      </c>
      <c r="V139" s="613"/>
      <c r="W139" s="436"/>
      <c r="X139" s="436"/>
      <c r="Y139" s="612"/>
      <c r="Z139" s="436">
        <v>45</v>
      </c>
      <c r="AA139" s="436">
        <f>IF(Z139&lt;='B1b '!$L$39,'B1b '!$M$39,IF(AND(Z139&lt;='B1b '!$L$38,Z139&gt;'B1b '!$L$39),0+(('B1b '!$M$39-'B1b '!$M$38)/('B1b '!$L$39-'B1b '!$L$38))*(Z139-'B1b '!$L$38),0))</f>
        <v>5</v>
      </c>
      <c r="AB139" s="613"/>
      <c r="AC139" s="436">
        <v>45</v>
      </c>
      <c r="AD139" s="436">
        <f>IF(AC139&lt;='B1b '!$L$41,'B1b '!$M$41,IF(AND(AC139&lt;='B1b '!$L$40,AC139&gt;'B1b '!$L$41),0+(('B1b '!$M$41-'B1b '!$M$40)/('B1b '!$L$41-'B1b '!$L$40))*(AC139-'B1b '!$L$40),0))</f>
        <v>117.66990291262135</v>
      </c>
      <c r="AE139" s="613"/>
      <c r="AF139" s="436"/>
      <c r="AG139" s="436"/>
      <c r="AH139" s="183"/>
    </row>
    <row r="140" spans="2:34">
      <c r="B140" s="182"/>
      <c r="C140" s="435">
        <v>46</v>
      </c>
      <c r="D140" s="435">
        <f>IF(C140&lt;='B1b '!$G$35,'B1b '!$H$35,IF(AND(C140&lt;='B1b '!$G$34,C140&gt;'B1b '!$G$35),0+(('B1b '!$H$35-'B1b '!$H$34)/('B1b '!$G$35-'B1b '!$G$34))*(C140-'B1b '!$G$34),0))</f>
        <v>3.5714285714285712</v>
      </c>
      <c r="E140" s="611"/>
      <c r="F140" s="435"/>
      <c r="G140" s="435"/>
      <c r="H140" s="415"/>
      <c r="I140" s="435"/>
      <c r="J140" s="435"/>
      <c r="K140" s="611"/>
      <c r="L140" s="435">
        <v>46</v>
      </c>
      <c r="M140" s="435">
        <f>IF(L140&lt;='B1b '!$G$41,'B1b '!$H$41,IF(AND(L140&lt;='B1b '!$G$40,L140&gt;'B1b '!$G$41),0+(('B1b '!$H$41-'B1b '!$H$40)/('B1b '!$G$41-'B1b '!$G$40))*(L140-'B1b '!$G$40),0))</f>
        <v>114.78260869565217</v>
      </c>
      <c r="N140" s="611"/>
      <c r="O140" s="435"/>
      <c r="P140" s="435"/>
      <c r="Q140" s="415"/>
      <c r="R140" s="434"/>
      <c r="S140" s="612"/>
      <c r="T140" s="436">
        <v>46</v>
      </c>
      <c r="U140" s="436">
        <f>IF(T140&lt;='B1b '!$L$35,'B1b '!$M$35,IF(AND(T140&lt;='B1b '!$L$34,T140&gt;'B1b '!$L$35),0+(('B1b '!$M$35-'B1b '!$M$34)/('B1b '!$L$35-'B1b '!$L$34))*(T140-'B1b '!$L$34),0))</f>
        <v>10</v>
      </c>
      <c r="V140" s="613"/>
      <c r="W140" s="436"/>
      <c r="X140" s="436"/>
      <c r="Y140" s="612"/>
      <c r="Z140" s="436">
        <v>46</v>
      </c>
      <c r="AA140" s="436">
        <f>IF(Z140&lt;='B1b '!$L$39,'B1b '!$M$39,IF(AND(Z140&lt;='B1b '!$L$38,Z140&gt;'B1b '!$L$39),0+(('B1b '!$M$39-'B1b '!$M$38)/('B1b '!$L$39-'B1b '!$L$38))*(Z140-'B1b '!$L$38),0))</f>
        <v>4</v>
      </c>
      <c r="AB140" s="613"/>
      <c r="AC140" s="436">
        <v>46</v>
      </c>
      <c r="AD140" s="436">
        <f>IF(AC140&lt;='B1b '!$L$41,'B1b '!$M$41,IF(AND(AC140&lt;='B1b '!$L$40,AC140&gt;'B1b '!$L$41),0+(('B1b '!$M$41-'B1b '!$M$40)/('B1b '!$L$41-'B1b '!$L$40))*(AC140-'B1b '!$L$40),0))</f>
        <v>116.50485436893203</v>
      </c>
      <c r="AE140" s="613"/>
      <c r="AF140" s="436"/>
      <c r="AG140" s="436"/>
      <c r="AH140" s="183"/>
    </row>
    <row r="141" spans="2:34">
      <c r="B141" s="182"/>
      <c r="C141" s="435">
        <v>47</v>
      </c>
      <c r="D141" s="435">
        <f>IF(C141&lt;='B1b '!$G$35,'B1b '!$H$35,IF(AND(C141&lt;='B1b '!$G$34,C141&gt;'B1b '!$G$35),0+(('B1b '!$H$35-'B1b '!$H$34)/('B1b '!$G$35-'B1b '!$G$34))*(C141-'B1b '!$G$34),0))</f>
        <v>2.9761904761904763</v>
      </c>
      <c r="E141" s="611"/>
      <c r="F141" s="435"/>
      <c r="G141" s="435"/>
      <c r="H141" s="415"/>
      <c r="I141" s="435"/>
      <c r="J141" s="435"/>
      <c r="K141" s="611"/>
      <c r="L141" s="435">
        <v>47</v>
      </c>
      <c r="M141" s="435">
        <f>IF(L141&lt;='B1b '!$G$41,'B1b '!$H$41,IF(AND(L141&lt;='B1b '!$G$40,L141&gt;'B1b '!$G$41),0+(('B1b '!$H$41-'B1b '!$H$40)/('B1b '!$G$41-'B1b '!$G$40))*(L141-'B1b '!$G$40),0))</f>
        <v>113.04347826086956</v>
      </c>
      <c r="N141" s="611"/>
      <c r="O141" s="435"/>
      <c r="P141" s="435"/>
      <c r="Q141" s="415"/>
      <c r="R141" s="434"/>
      <c r="S141" s="612"/>
      <c r="T141" s="436">
        <v>47</v>
      </c>
      <c r="U141" s="436">
        <f>IF(T141&lt;='B1b '!$L$35,'B1b '!$M$35,IF(AND(T141&lt;='B1b '!$L$34,T141&gt;'B1b '!$L$35),0+(('B1b '!$M$35-'B1b '!$M$34)/('B1b '!$L$35-'B1b '!$L$34))*(T141-'B1b '!$L$34),0))</f>
        <v>9.375</v>
      </c>
      <c r="V141" s="613"/>
      <c r="W141" s="436"/>
      <c r="X141" s="436"/>
      <c r="Y141" s="612"/>
      <c r="Z141" s="436">
        <v>47</v>
      </c>
      <c r="AA141" s="436">
        <f>IF(Z141&lt;='B1b '!$L$39,'B1b '!$M$39,IF(AND(Z141&lt;='B1b '!$L$38,Z141&gt;'B1b '!$L$39),0+(('B1b '!$M$39-'B1b '!$M$38)/('B1b '!$L$39-'B1b '!$L$38))*(Z141-'B1b '!$L$38),0))</f>
        <v>3</v>
      </c>
      <c r="AB141" s="613"/>
      <c r="AC141" s="436">
        <v>47</v>
      </c>
      <c r="AD141" s="436">
        <f>IF(AC141&lt;='B1b '!$L$41,'B1b '!$M$41,IF(AND(AC141&lt;='B1b '!$L$40,AC141&gt;'B1b '!$L$41),0+(('B1b '!$M$41-'B1b '!$M$40)/('B1b '!$L$41-'B1b '!$L$40))*(AC141-'B1b '!$L$40),0))</f>
        <v>115.33980582524271</v>
      </c>
      <c r="AE141" s="613"/>
      <c r="AF141" s="436"/>
      <c r="AG141" s="436"/>
      <c r="AH141" s="183"/>
    </row>
    <row r="142" spans="2:34">
      <c r="B142" s="182"/>
      <c r="C142" s="435">
        <v>48</v>
      </c>
      <c r="D142" s="435">
        <f>IF(C142&lt;='B1b '!$G$35,'B1b '!$H$35,IF(AND(C142&lt;='B1b '!$G$34,C142&gt;'B1b '!$G$35),0+(('B1b '!$H$35-'B1b '!$H$34)/('B1b '!$G$35-'B1b '!$G$34))*(C142-'B1b '!$G$34),0))</f>
        <v>2.3809523809523809</v>
      </c>
      <c r="E142" s="611"/>
      <c r="F142" s="435"/>
      <c r="G142" s="435"/>
      <c r="H142" s="415"/>
      <c r="I142" s="435"/>
      <c r="J142" s="435"/>
      <c r="K142" s="611"/>
      <c r="L142" s="435">
        <v>48</v>
      </c>
      <c r="M142" s="435">
        <f>IF(L142&lt;='B1b '!$G$41,'B1b '!$H$41,IF(AND(L142&lt;='B1b '!$G$40,L142&gt;'B1b '!$G$41),0+(('B1b '!$H$41-'B1b '!$H$40)/('B1b '!$G$41-'B1b '!$G$40))*(L142-'B1b '!$G$40),0))</f>
        <v>111.30434782608695</v>
      </c>
      <c r="N142" s="611"/>
      <c r="O142" s="435"/>
      <c r="P142" s="435"/>
      <c r="Q142" s="415"/>
      <c r="R142" s="434"/>
      <c r="S142" s="612"/>
      <c r="T142" s="436">
        <v>48</v>
      </c>
      <c r="U142" s="436">
        <f>IF(T142&lt;='B1b '!$L$35,'B1b '!$M$35,IF(AND(T142&lt;='B1b '!$L$34,T142&gt;'B1b '!$L$35),0+(('B1b '!$M$35-'B1b '!$M$34)/('B1b '!$L$35-'B1b '!$L$34))*(T142-'B1b '!$L$34),0))</f>
        <v>8.75</v>
      </c>
      <c r="V142" s="613"/>
      <c r="W142" s="436"/>
      <c r="X142" s="436"/>
      <c r="Y142" s="612"/>
      <c r="Z142" s="436">
        <v>48</v>
      </c>
      <c r="AA142" s="436">
        <f>IF(Z142&lt;='B1b '!$L$39,'B1b '!$M$39,IF(AND(Z142&lt;='B1b '!$L$38,Z142&gt;'B1b '!$L$39),0+(('B1b '!$M$39-'B1b '!$M$38)/('B1b '!$L$39-'B1b '!$L$38))*(Z142-'B1b '!$L$38),0))</f>
        <v>2</v>
      </c>
      <c r="AB142" s="613"/>
      <c r="AC142" s="436">
        <v>48</v>
      </c>
      <c r="AD142" s="436">
        <f>IF(AC142&lt;='B1b '!$L$41,'B1b '!$M$41,IF(AND(AC142&lt;='B1b '!$L$40,AC142&gt;'B1b '!$L$41),0+(('B1b '!$M$41-'B1b '!$M$40)/('B1b '!$L$41-'B1b '!$L$40))*(AC142-'B1b '!$L$40),0))</f>
        <v>114.1747572815534</v>
      </c>
      <c r="AE142" s="613"/>
      <c r="AF142" s="436"/>
      <c r="AG142" s="436"/>
      <c r="AH142" s="183"/>
    </row>
    <row r="143" spans="2:34">
      <c r="B143" s="182"/>
      <c r="C143" s="435">
        <v>49</v>
      </c>
      <c r="D143" s="435">
        <f>IF(C143&lt;='B1b '!$G$35,'B1b '!$H$35,IF(AND(C143&lt;='B1b '!$G$34,C143&gt;'B1b '!$G$35),0+(('B1b '!$H$35-'B1b '!$H$34)/('B1b '!$G$35-'B1b '!$G$34))*(C143-'B1b '!$G$34),0))</f>
        <v>1.7857142857142856</v>
      </c>
      <c r="E143" s="611"/>
      <c r="F143" s="435"/>
      <c r="G143" s="435"/>
      <c r="H143" s="415"/>
      <c r="I143" s="435"/>
      <c r="J143" s="435"/>
      <c r="K143" s="611"/>
      <c r="L143" s="435">
        <v>49</v>
      </c>
      <c r="M143" s="435">
        <f>IF(L143&lt;='B1b '!$G$41,'B1b '!$H$41,IF(AND(L143&lt;='B1b '!$G$40,L143&gt;'B1b '!$G$41),0+(('B1b '!$H$41-'B1b '!$H$40)/('B1b '!$G$41-'B1b '!$G$40))*(L143-'B1b '!$G$40),0))</f>
        <v>109.56521739130434</v>
      </c>
      <c r="N143" s="611"/>
      <c r="O143" s="435"/>
      <c r="P143" s="435"/>
      <c r="Q143" s="415"/>
      <c r="R143" s="434"/>
      <c r="S143" s="612"/>
      <c r="T143" s="436">
        <v>49</v>
      </c>
      <c r="U143" s="436">
        <f>IF(T143&lt;='B1b '!$L$35,'B1b '!$M$35,IF(AND(T143&lt;='B1b '!$L$34,T143&gt;'B1b '!$L$35),0+(('B1b '!$M$35-'B1b '!$M$34)/('B1b '!$L$35-'B1b '!$L$34))*(T143-'B1b '!$L$34),0))</f>
        <v>8.125</v>
      </c>
      <c r="V143" s="613"/>
      <c r="W143" s="436"/>
      <c r="X143" s="436"/>
      <c r="Y143" s="612"/>
      <c r="Z143" s="436">
        <v>49</v>
      </c>
      <c r="AA143" s="436">
        <f>IF(Z143&lt;='B1b '!$L$39,'B1b '!$M$39,IF(AND(Z143&lt;='B1b '!$L$38,Z143&gt;'B1b '!$L$39),0+(('B1b '!$M$39-'B1b '!$M$38)/('B1b '!$L$39-'B1b '!$L$38))*(Z143-'B1b '!$L$38),0))</f>
        <v>1</v>
      </c>
      <c r="AB143" s="613"/>
      <c r="AC143" s="436">
        <v>49</v>
      </c>
      <c r="AD143" s="436">
        <f>IF(AC143&lt;='B1b '!$L$41,'B1b '!$M$41,IF(AND(AC143&lt;='B1b '!$L$40,AC143&gt;'B1b '!$L$41),0+(('B1b '!$M$41-'B1b '!$M$40)/('B1b '!$L$41-'B1b '!$L$40))*(AC143-'B1b '!$L$40),0))</f>
        <v>113.00970873786407</v>
      </c>
      <c r="AE143" s="613"/>
      <c r="AF143" s="436"/>
      <c r="AG143" s="436"/>
      <c r="AH143" s="183"/>
    </row>
    <row r="144" spans="2:34">
      <c r="B144" s="182"/>
      <c r="C144" s="435">
        <v>50</v>
      </c>
      <c r="D144" s="435">
        <f>IF(C144&lt;='B1b '!$G$35,'B1b '!$H$35,IF(AND(C144&lt;='B1b '!$G$34,C144&gt;'B1b '!$G$35),0+(('B1b '!$H$35-'B1b '!$H$34)/('B1b '!$G$35-'B1b '!$G$34))*(C144-'B1b '!$G$34),0))</f>
        <v>1.1904761904761905</v>
      </c>
      <c r="E144" s="611"/>
      <c r="F144" s="435"/>
      <c r="G144" s="435"/>
      <c r="H144" s="415"/>
      <c r="I144" s="435"/>
      <c r="J144" s="435"/>
      <c r="K144" s="611"/>
      <c r="L144" s="435">
        <v>50</v>
      </c>
      <c r="M144" s="435">
        <f>IF(L144&lt;='B1b '!$G$41,'B1b '!$H$41,IF(AND(L144&lt;='B1b '!$G$40,L144&gt;'B1b '!$G$41),0+(('B1b '!$H$41-'B1b '!$H$40)/('B1b '!$G$41-'B1b '!$G$40))*(L144-'B1b '!$G$40),0))</f>
        <v>107.82608695652173</v>
      </c>
      <c r="N144" s="611"/>
      <c r="O144" s="435"/>
      <c r="P144" s="435"/>
      <c r="Q144" s="415"/>
      <c r="R144" s="434"/>
      <c r="S144" s="612"/>
      <c r="T144" s="436">
        <v>50</v>
      </c>
      <c r="U144" s="436">
        <f>IF(T144&lt;='B1b '!$L$35,'B1b '!$M$35,IF(AND(T144&lt;='B1b '!$L$34,T144&gt;'B1b '!$L$35),0+(('B1b '!$M$35-'B1b '!$M$34)/('B1b '!$L$35-'B1b '!$L$34))*(T144-'B1b '!$L$34),0))</f>
        <v>7.5</v>
      </c>
      <c r="V144" s="613"/>
      <c r="W144" s="436"/>
      <c r="X144" s="436"/>
      <c r="Y144" s="612"/>
      <c r="Z144" s="436">
        <v>50</v>
      </c>
      <c r="AA144" s="436">
        <f>IF(Z144&lt;='B1b '!$L$39,'B1b '!$M$39,IF(AND(Z144&lt;='B1b '!$L$38,Z144&gt;'B1b '!$L$39),0+(('B1b '!$M$39-'B1b '!$M$38)/('B1b '!$L$39-'B1b '!$L$38))*(Z144-'B1b '!$L$38),0))</f>
        <v>0</v>
      </c>
      <c r="AB144" s="613"/>
      <c r="AC144" s="436">
        <v>50</v>
      </c>
      <c r="AD144" s="436">
        <f>IF(AC144&lt;='B1b '!$L$41,'B1b '!$M$41,IF(AND(AC144&lt;='B1b '!$L$40,AC144&gt;'B1b '!$L$41),0+(('B1b '!$M$41-'B1b '!$M$40)/('B1b '!$L$41-'B1b '!$L$40))*(AC144-'B1b '!$L$40),0))</f>
        <v>111.84466019417475</v>
      </c>
      <c r="AE144" s="613"/>
      <c r="AF144" s="436"/>
      <c r="AG144" s="436"/>
      <c r="AH144" s="183"/>
    </row>
    <row r="145" spans="2:34">
      <c r="B145" s="182"/>
      <c r="C145" s="435">
        <v>51</v>
      </c>
      <c r="D145" s="435">
        <f>IF(C145&lt;='B1b '!$G$35,'B1b '!$H$35,IF(AND(C145&lt;='B1b '!$G$34,C145&gt;'B1b '!$G$35),0+(('B1b '!$H$35-'B1b '!$H$34)/('B1b '!$G$35-'B1b '!$G$34))*(C145-'B1b '!$G$34),0))</f>
        <v>0.59523809523809523</v>
      </c>
      <c r="E145" s="611"/>
      <c r="F145" s="435"/>
      <c r="G145" s="435"/>
      <c r="H145" s="415"/>
      <c r="I145" s="435"/>
      <c r="J145" s="435"/>
      <c r="K145" s="611"/>
      <c r="L145" s="435">
        <v>51</v>
      </c>
      <c r="M145" s="435">
        <f>IF(L145&lt;='B1b '!$G$41,'B1b '!$H$41,IF(AND(L145&lt;='B1b '!$G$40,L145&gt;'B1b '!$G$41),0+(('B1b '!$H$41-'B1b '!$H$40)/('B1b '!$G$41-'B1b '!$G$40))*(L145-'B1b '!$G$40),0))</f>
        <v>106.08695652173913</v>
      </c>
      <c r="N145" s="611"/>
      <c r="O145" s="435"/>
      <c r="P145" s="435"/>
      <c r="Q145" s="415"/>
      <c r="R145" s="434"/>
      <c r="S145" s="612"/>
      <c r="T145" s="436">
        <v>51</v>
      </c>
      <c r="U145" s="436">
        <f>IF(T145&lt;='B1b '!$L$35,'B1b '!$M$35,IF(AND(T145&lt;='B1b '!$L$34,T145&gt;'B1b '!$L$35),0+(('B1b '!$M$35-'B1b '!$M$34)/('B1b '!$L$35-'B1b '!$L$34))*(T145-'B1b '!$L$34),0))</f>
        <v>6.875</v>
      </c>
      <c r="V145" s="613"/>
      <c r="W145" s="436"/>
      <c r="X145" s="436"/>
      <c r="Y145" s="612"/>
      <c r="Z145" s="436">
        <v>51</v>
      </c>
      <c r="AA145" s="436">
        <f>IF(Z145&lt;='B1b '!$L$39,'B1b '!$M$39,IF(AND(Z145&lt;='B1b '!$L$38,Z145&gt;'B1b '!$L$39),0+(('B1b '!$M$39-'B1b '!$M$38)/('B1b '!$L$39-'B1b '!$L$38))*(Z145-'B1b '!$L$38),0))</f>
        <v>0</v>
      </c>
      <c r="AB145" s="613"/>
      <c r="AC145" s="436">
        <v>51</v>
      </c>
      <c r="AD145" s="436">
        <f>IF(AC145&lt;='B1b '!$L$41,'B1b '!$M$41,IF(AND(AC145&lt;='B1b '!$L$40,AC145&gt;'B1b '!$L$41),0+(('B1b '!$M$41-'B1b '!$M$40)/('B1b '!$L$41-'B1b '!$L$40))*(AC145-'B1b '!$L$40),0))</f>
        <v>110.67961165048543</v>
      </c>
      <c r="AE145" s="613"/>
      <c r="AF145" s="436"/>
      <c r="AG145" s="436"/>
      <c r="AH145" s="183"/>
    </row>
    <row r="146" spans="2:34">
      <c r="B146" s="182"/>
      <c r="C146" s="435">
        <v>52</v>
      </c>
      <c r="D146" s="435">
        <f>IF(C146&lt;='B1b '!$G$35,'B1b '!$H$35,IF(AND(C146&lt;='B1b '!$G$34,C146&gt;'B1b '!$G$35),0+(('B1b '!$H$35-'B1b '!$H$34)/('B1b '!$G$35-'B1b '!$G$34))*(C146-'B1b '!$G$34),0))</f>
        <v>0</v>
      </c>
      <c r="E146" s="611"/>
      <c r="F146" s="435"/>
      <c r="G146" s="435"/>
      <c r="H146" s="415"/>
      <c r="I146" s="435"/>
      <c r="J146" s="435"/>
      <c r="K146" s="611"/>
      <c r="L146" s="435">
        <v>52</v>
      </c>
      <c r="M146" s="435">
        <f>IF(L146&lt;='B1b '!$G$41,'B1b '!$H$41,IF(AND(L146&lt;='B1b '!$G$40,L146&gt;'B1b '!$G$41),0+(('B1b '!$H$41-'B1b '!$H$40)/('B1b '!$G$41-'B1b '!$G$40))*(L146-'B1b '!$G$40),0))</f>
        <v>104.34782608695652</v>
      </c>
      <c r="N146" s="611"/>
      <c r="O146" s="435"/>
      <c r="P146" s="435"/>
      <c r="Q146" s="415"/>
      <c r="R146" s="434"/>
      <c r="S146" s="612"/>
      <c r="T146" s="436">
        <v>52</v>
      </c>
      <c r="U146" s="436">
        <f>IF(T146&lt;='B1b '!$L$35,'B1b '!$M$35,IF(AND(T146&lt;='B1b '!$L$34,T146&gt;'B1b '!$L$35),0+(('B1b '!$M$35-'B1b '!$M$34)/('B1b '!$L$35-'B1b '!$L$34))*(T146-'B1b '!$L$34),0))</f>
        <v>6.25</v>
      </c>
      <c r="V146" s="613"/>
      <c r="W146" s="436"/>
      <c r="X146" s="436"/>
      <c r="Y146" s="612"/>
      <c r="Z146" s="436"/>
      <c r="AA146" s="436"/>
      <c r="AB146" s="613"/>
      <c r="AC146" s="436">
        <v>52</v>
      </c>
      <c r="AD146" s="436">
        <f>IF(AC146&lt;='B1b '!$L$41,'B1b '!$M$41,IF(AND(AC146&lt;='B1b '!$L$40,AC146&gt;'B1b '!$L$41),0+(('B1b '!$M$41-'B1b '!$M$40)/('B1b '!$L$41-'B1b '!$L$40))*(AC146-'B1b '!$L$40),0))</f>
        <v>109.5145631067961</v>
      </c>
      <c r="AE146" s="613"/>
      <c r="AF146" s="436"/>
      <c r="AG146" s="436"/>
      <c r="AH146" s="183"/>
    </row>
    <row r="147" spans="2:34">
      <c r="B147" s="182"/>
      <c r="C147" s="435">
        <v>53</v>
      </c>
      <c r="D147" s="435">
        <f>IF(C147&lt;='B1b '!$G$35,'B1b '!$H$35,IF(AND(C147&lt;='B1b '!$G$34,C147&gt;'B1b '!$G$35),0+(('B1b '!$H$35-'B1b '!$H$34)/('B1b '!$G$35-'B1b '!$G$34))*(C147-'B1b '!$G$34),0))</f>
        <v>0</v>
      </c>
      <c r="E147" s="611"/>
      <c r="F147" s="435"/>
      <c r="G147" s="435"/>
      <c r="H147" s="415"/>
      <c r="I147" s="435"/>
      <c r="J147" s="435"/>
      <c r="K147" s="611"/>
      <c r="L147" s="435">
        <v>53</v>
      </c>
      <c r="M147" s="435">
        <f>IF(L147&lt;='B1b '!$G$41,'B1b '!$H$41,IF(AND(L147&lt;='B1b '!$G$40,L147&gt;'B1b '!$G$41),0+(('B1b '!$H$41-'B1b '!$H$40)/('B1b '!$G$41-'B1b '!$G$40))*(L147-'B1b '!$G$40),0))</f>
        <v>102.60869565217391</v>
      </c>
      <c r="N147" s="611"/>
      <c r="O147" s="435"/>
      <c r="P147" s="435"/>
      <c r="Q147" s="415"/>
      <c r="R147" s="434"/>
      <c r="S147" s="612"/>
      <c r="T147" s="436">
        <v>53</v>
      </c>
      <c r="U147" s="436">
        <f>IF(T147&lt;='B1b '!$L$35,'B1b '!$M$35,IF(AND(T147&lt;='B1b '!$L$34,T147&gt;'B1b '!$L$35),0+(('B1b '!$M$35-'B1b '!$M$34)/('B1b '!$L$35-'B1b '!$L$34))*(T147-'B1b '!$L$34),0))</f>
        <v>5.625</v>
      </c>
      <c r="V147" s="613"/>
      <c r="W147" s="436"/>
      <c r="X147" s="436"/>
      <c r="Y147" s="612"/>
      <c r="Z147" s="436"/>
      <c r="AA147" s="436"/>
      <c r="AB147" s="613"/>
      <c r="AC147" s="436">
        <v>53</v>
      </c>
      <c r="AD147" s="436">
        <f>IF(AC147&lt;='B1b '!$L$41,'B1b '!$M$41,IF(AND(AC147&lt;='B1b '!$L$40,AC147&gt;'B1b '!$L$41),0+(('B1b '!$M$41-'B1b '!$M$40)/('B1b '!$L$41-'B1b '!$L$40))*(AC147-'B1b '!$L$40),0))</f>
        <v>108.34951456310679</v>
      </c>
      <c r="AE147" s="613"/>
      <c r="AF147" s="436"/>
      <c r="AG147" s="436"/>
      <c r="AH147" s="183"/>
    </row>
    <row r="148" spans="2:34">
      <c r="B148" s="182"/>
      <c r="C148" s="435">
        <v>54</v>
      </c>
      <c r="D148" s="435">
        <f>IF(C148&lt;='B1b '!$G$35,'B1b '!$H$35,IF(AND(C148&lt;='B1b '!$G$34,C148&gt;'B1b '!$G$35),0+(('B1b '!$H$35-'B1b '!$H$34)/('B1b '!$G$35-'B1b '!$G$34))*(C148-'B1b '!$G$34),0))</f>
        <v>0</v>
      </c>
      <c r="E148" s="611"/>
      <c r="F148" s="435"/>
      <c r="G148" s="435"/>
      <c r="H148" s="415"/>
      <c r="I148" s="435"/>
      <c r="J148" s="435"/>
      <c r="K148" s="611"/>
      <c r="L148" s="435">
        <v>54</v>
      </c>
      <c r="M148" s="435">
        <f>IF(L148&lt;='B1b '!$G$41,'B1b '!$H$41,IF(AND(L148&lt;='B1b '!$G$40,L148&gt;'B1b '!$G$41),0+(('B1b '!$H$41-'B1b '!$H$40)/('B1b '!$G$41-'B1b '!$G$40))*(L148-'B1b '!$G$40),0))</f>
        <v>100.8695652173913</v>
      </c>
      <c r="N148" s="611"/>
      <c r="O148" s="435"/>
      <c r="P148" s="435"/>
      <c r="Q148" s="415"/>
      <c r="R148" s="434"/>
      <c r="S148" s="612"/>
      <c r="T148" s="436">
        <v>54</v>
      </c>
      <c r="U148" s="436">
        <f>IF(T148&lt;='B1b '!$L$35,'B1b '!$M$35,IF(AND(T148&lt;='B1b '!$L$34,T148&gt;'B1b '!$L$35),0+(('B1b '!$M$35-'B1b '!$M$34)/('B1b '!$L$35-'B1b '!$L$34))*(T148-'B1b '!$L$34),0))</f>
        <v>5</v>
      </c>
      <c r="V148" s="613"/>
      <c r="W148" s="436"/>
      <c r="X148" s="436"/>
      <c r="Y148" s="612"/>
      <c r="Z148" s="436"/>
      <c r="AA148" s="436"/>
      <c r="AB148" s="613"/>
      <c r="AC148" s="436">
        <v>54</v>
      </c>
      <c r="AD148" s="436">
        <f>IF(AC148&lt;='B1b '!$L$41,'B1b '!$M$41,IF(AND(AC148&lt;='B1b '!$L$40,AC148&gt;'B1b '!$L$41),0+(('B1b '!$M$41-'B1b '!$M$40)/('B1b '!$L$41-'B1b '!$L$40))*(AC148-'B1b '!$L$40),0))</f>
        <v>107.18446601941747</v>
      </c>
      <c r="AE148" s="613"/>
      <c r="AF148" s="436"/>
      <c r="AG148" s="436"/>
      <c r="AH148" s="183"/>
    </row>
    <row r="149" spans="2:34">
      <c r="B149" s="182"/>
      <c r="C149" s="435">
        <v>55</v>
      </c>
      <c r="D149" s="435">
        <f>IF(C149&lt;='B1b '!$G$35,'B1b '!$H$35,IF(AND(C149&lt;='B1b '!$G$34,C149&gt;'B1b '!$G$35),0+(('B1b '!$H$35-'B1b '!$H$34)/('B1b '!$G$35-'B1b '!$G$34))*(C149-'B1b '!$G$34),0))</f>
        <v>0</v>
      </c>
      <c r="E149" s="611"/>
      <c r="F149" s="435"/>
      <c r="G149" s="435"/>
      <c r="H149" s="415"/>
      <c r="I149" s="435"/>
      <c r="J149" s="435"/>
      <c r="K149" s="611"/>
      <c r="L149" s="435">
        <v>55</v>
      </c>
      <c r="M149" s="435">
        <f>IF(L149&lt;='B1b '!$G$41,'B1b '!$H$41,IF(AND(L149&lt;='B1b '!$G$40,L149&gt;'B1b '!$G$41),0+(('B1b '!$H$41-'B1b '!$H$40)/('B1b '!$G$41-'B1b '!$G$40))*(L149-'B1b '!$G$40),0))</f>
        <v>99.130434782608688</v>
      </c>
      <c r="N149" s="611"/>
      <c r="O149" s="435"/>
      <c r="P149" s="435"/>
      <c r="Q149" s="415"/>
      <c r="R149" s="434"/>
      <c r="S149" s="612"/>
      <c r="T149" s="436">
        <v>55</v>
      </c>
      <c r="U149" s="436">
        <f>IF(T149&lt;='B1b '!$L$35,'B1b '!$M$35,IF(AND(T149&lt;='B1b '!$L$34,T149&gt;'B1b '!$L$35),0+(('B1b '!$M$35-'B1b '!$M$34)/('B1b '!$L$35-'B1b '!$L$34))*(T149-'B1b '!$L$34),0))</f>
        <v>4.375</v>
      </c>
      <c r="V149" s="613"/>
      <c r="W149" s="436"/>
      <c r="X149" s="436"/>
      <c r="Y149" s="612"/>
      <c r="Z149" s="436"/>
      <c r="AA149" s="436"/>
      <c r="AB149" s="613"/>
      <c r="AC149" s="436">
        <v>55</v>
      </c>
      <c r="AD149" s="436">
        <f>IF(AC149&lt;='B1b '!$L$41,'B1b '!$M$41,IF(AND(AC149&lt;='B1b '!$L$40,AC149&gt;'B1b '!$L$41),0+(('B1b '!$M$41-'B1b '!$M$40)/('B1b '!$L$41-'B1b '!$L$40))*(AC149-'B1b '!$L$40),0))</f>
        <v>106.01941747572815</v>
      </c>
      <c r="AE149" s="613"/>
      <c r="AF149" s="436"/>
      <c r="AG149" s="436"/>
      <c r="AH149" s="183"/>
    </row>
    <row r="150" spans="2:34">
      <c r="B150" s="182"/>
      <c r="C150" s="435">
        <v>56</v>
      </c>
      <c r="D150" s="435">
        <f>IF(C150&lt;='B1b '!$G$35,'B1b '!$H$35,IF(AND(C150&lt;='B1b '!$G$34,C150&gt;'B1b '!$G$35),0+(('B1b '!$H$35-'B1b '!$H$34)/('B1b '!$G$35-'B1b '!$G$34))*(C150-'B1b '!$G$34),0))</f>
        <v>0</v>
      </c>
      <c r="E150" s="611"/>
      <c r="F150" s="435"/>
      <c r="G150" s="435"/>
      <c r="H150" s="415"/>
      <c r="I150" s="435"/>
      <c r="J150" s="435"/>
      <c r="K150" s="611"/>
      <c r="L150" s="435">
        <v>56</v>
      </c>
      <c r="M150" s="435">
        <f>IF(L150&lt;='B1b '!$G$41,'B1b '!$H$41,IF(AND(L150&lt;='B1b '!$G$40,L150&gt;'B1b '!$G$41),0+(('B1b '!$H$41-'B1b '!$H$40)/('B1b '!$G$41-'B1b '!$G$40))*(L150-'B1b '!$G$40),0))</f>
        <v>97.391304347826079</v>
      </c>
      <c r="N150" s="611"/>
      <c r="O150" s="435"/>
      <c r="P150" s="435"/>
      <c r="Q150" s="415"/>
      <c r="R150" s="434"/>
      <c r="S150" s="612"/>
      <c r="T150" s="436">
        <v>56</v>
      </c>
      <c r="U150" s="436">
        <f>IF(T150&lt;='B1b '!$L$35,'B1b '!$M$35,IF(AND(T150&lt;='B1b '!$L$34,T150&gt;'B1b '!$L$35),0+(('B1b '!$M$35-'B1b '!$M$34)/('B1b '!$L$35-'B1b '!$L$34))*(T150-'B1b '!$L$34),0))</f>
        <v>3.75</v>
      </c>
      <c r="V150" s="613"/>
      <c r="W150" s="436"/>
      <c r="X150" s="436"/>
      <c r="Y150" s="612"/>
      <c r="Z150" s="436"/>
      <c r="AA150" s="436"/>
      <c r="AB150" s="613"/>
      <c r="AC150" s="436">
        <v>56</v>
      </c>
      <c r="AD150" s="436">
        <f>IF(AC150&lt;='B1b '!$L$41,'B1b '!$M$41,IF(AND(AC150&lt;='B1b '!$L$40,AC150&gt;'B1b '!$L$41),0+(('B1b '!$M$41-'B1b '!$M$40)/('B1b '!$L$41-'B1b '!$L$40))*(AC150-'B1b '!$L$40),0))</f>
        <v>104.85436893203882</v>
      </c>
      <c r="AE150" s="613"/>
      <c r="AF150" s="436"/>
      <c r="AG150" s="436"/>
      <c r="AH150" s="183"/>
    </row>
    <row r="151" spans="2:34">
      <c r="B151" s="182"/>
      <c r="C151" s="435">
        <v>57</v>
      </c>
      <c r="D151" s="435">
        <f>IF(C151&lt;='B1b '!$G$35,'B1b '!$H$35,IF(AND(C151&lt;='B1b '!$G$34,C151&gt;'B1b '!$G$35),0+(('B1b '!$H$35-'B1b '!$H$34)/('B1b '!$G$35-'B1b '!$G$34))*(C151-'B1b '!$G$34),0))</f>
        <v>0</v>
      </c>
      <c r="E151" s="611"/>
      <c r="F151" s="435"/>
      <c r="G151" s="435"/>
      <c r="H151" s="415"/>
      <c r="I151" s="435"/>
      <c r="J151" s="435"/>
      <c r="K151" s="611"/>
      <c r="L151" s="435">
        <v>57</v>
      </c>
      <c r="M151" s="435">
        <f>IF(L151&lt;='B1b '!$G$41,'B1b '!$H$41,IF(AND(L151&lt;='B1b '!$G$40,L151&gt;'B1b '!$G$41),0+(('B1b '!$H$41-'B1b '!$H$40)/('B1b '!$G$41-'B1b '!$G$40))*(L151-'B1b '!$G$40),0))</f>
        <v>95.65217391304347</v>
      </c>
      <c r="N151" s="611"/>
      <c r="O151" s="435"/>
      <c r="P151" s="435"/>
      <c r="Q151" s="415"/>
      <c r="R151" s="434"/>
      <c r="S151" s="612"/>
      <c r="T151" s="436">
        <v>57</v>
      </c>
      <c r="U151" s="436">
        <f>IF(T151&lt;='B1b '!$L$35,'B1b '!$M$35,IF(AND(T151&lt;='B1b '!$L$34,T151&gt;'B1b '!$L$35),0+(('B1b '!$M$35-'B1b '!$M$34)/('B1b '!$L$35-'B1b '!$L$34))*(T151-'B1b '!$L$34),0))</f>
        <v>3.125</v>
      </c>
      <c r="V151" s="613"/>
      <c r="W151" s="436"/>
      <c r="X151" s="436"/>
      <c r="Y151" s="612"/>
      <c r="Z151" s="436"/>
      <c r="AA151" s="436"/>
      <c r="AB151" s="613"/>
      <c r="AC151" s="436">
        <v>57</v>
      </c>
      <c r="AD151" s="436">
        <f>IF(AC151&lt;='B1b '!$L$41,'B1b '!$M$41,IF(AND(AC151&lt;='B1b '!$L$40,AC151&gt;'B1b '!$L$41),0+(('B1b '!$M$41-'B1b '!$M$40)/('B1b '!$L$41-'B1b '!$L$40))*(AC151-'B1b '!$L$40),0))</f>
        <v>103.68932038834951</v>
      </c>
      <c r="AE151" s="613"/>
      <c r="AF151" s="436"/>
      <c r="AG151" s="436"/>
      <c r="AH151" s="183"/>
    </row>
    <row r="152" spans="2:34">
      <c r="B152" s="182"/>
      <c r="C152" s="435">
        <v>58</v>
      </c>
      <c r="D152" s="435">
        <f>IF(C152&lt;='B1b '!$G$35,'B1b '!$H$35,IF(AND(C152&lt;='B1b '!$G$34,C152&gt;'B1b '!$G$35),0+(('B1b '!$H$35-'B1b '!$H$34)/('B1b '!$G$35-'B1b '!$G$34))*(C152-'B1b '!$G$34),0))</f>
        <v>0</v>
      </c>
      <c r="E152" s="611"/>
      <c r="F152" s="435"/>
      <c r="G152" s="435"/>
      <c r="H152" s="415"/>
      <c r="I152" s="435"/>
      <c r="J152" s="435"/>
      <c r="K152" s="611"/>
      <c r="L152" s="435">
        <v>58</v>
      </c>
      <c r="M152" s="435">
        <f>IF(L152&lt;='B1b '!$G$41,'B1b '!$H$41,IF(AND(L152&lt;='B1b '!$G$40,L152&gt;'B1b '!$G$41),0+(('B1b '!$H$41-'B1b '!$H$40)/('B1b '!$G$41-'B1b '!$G$40))*(L152-'B1b '!$G$40),0))</f>
        <v>93.91304347826086</v>
      </c>
      <c r="N152" s="611"/>
      <c r="O152" s="435"/>
      <c r="P152" s="435"/>
      <c r="Q152" s="415"/>
      <c r="R152" s="434"/>
      <c r="S152" s="612"/>
      <c r="T152" s="436">
        <v>58</v>
      </c>
      <c r="U152" s="436">
        <f>IF(T152&lt;='B1b '!$L$35,'B1b '!$M$35,IF(AND(T152&lt;='B1b '!$L$34,T152&gt;'B1b '!$L$35),0+(('B1b '!$M$35-'B1b '!$M$34)/('B1b '!$L$35-'B1b '!$L$34))*(T152-'B1b '!$L$34),0))</f>
        <v>2.5</v>
      </c>
      <c r="V152" s="613"/>
      <c r="W152" s="436"/>
      <c r="X152" s="436"/>
      <c r="Y152" s="612"/>
      <c r="Z152" s="436"/>
      <c r="AA152" s="436"/>
      <c r="AB152" s="613"/>
      <c r="AC152" s="436">
        <v>58</v>
      </c>
      <c r="AD152" s="436">
        <f>IF(AC152&lt;='B1b '!$L$41,'B1b '!$M$41,IF(AND(AC152&lt;='B1b '!$L$40,AC152&gt;'B1b '!$L$41),0+(('B1b '!$M$41-'B1b '!$M$40)/('B1b '!$L$41-'B1b '!$L$40))*(AC152-'B1b '!$L$40),0))</f>
        <v>102.52427184466019</v>
      </c>
      <c r="AE152" s="613"/>
      <c r="AF152" s="436"/>
      <c r="AG152" s="436"/>
      <c r="AH152" s="183"/>
    </row>
    <row r="153" spans="2:34">
      <c r="B153" s="182"/>
      <c r="C153" s="435">
        <v>59</v>
      </c>
      <c r="D153" s="435">
        <f>IF(C153&lt;='B1b '!$G$35,'B1b '!$H$35,IF(AND(C153&lt;='B1b '!$G$34,C153&gt;'B1b '!$G$35),0+(('B1b '!$H$35-'B1b '!$H$34)/('B1b '!$G$35-'B1b '!$G$34))*(C153-'B1b '!$G$34),0))</f>
        <v>0</v>
      </c>
      <c r="E153" s="611"/>
      <c r="F153" s="435"/>
      <c r="G153" s="435"/>
      <c r="H153" s="415"/>
      <c r="I153" s="435"/>
      <c r="J153" s="435"/>
      <c r="K153" s="611"/>
      <c r="L153" s="435">
        <v>59</v>
      </c>
      <c r="M153" s="435">
        <f>IF(L153&lt;='B1b '!$G$41,'B1b '!$H$41,IF(AND(L153&lt;='B1b '!$G$40,L153&gt;'B1b '!$G$41),0+(('B1b '!$H$41-'B1b '!$H$40)/('B1b '!$G$41-'B1b '!$G$40))*(L153-'B1b '!$G$40),0))</f>
        <v>92.173913043478265</v>
      </c>
      <c r="N153" s="611"/>
      <c r="O153" s="435"/>
      <c r="P153" s="435"/>
      <c r="Q153" s="415"/>
      <c r="R153" s="434"/>
      <c r="S153" s="612"/>
      <c r="T153" s="436">
        <v>59</v>
      </c>
      <c r="U153" s="436">
        <f>IF(T153&lt;='B1b '!$L$35,'B1b '!$M$35,IF(AND(T153&lt;='B1b '!$L$34,T153&gt;'B1b '!$L$35),0+(('B1b '!$M$35-'B1b '!$M$34)/('B1b '!$L$35-'B1b '!$L$34))*(T153-'B1b '!$L$34),0))</f>
        <v>1.875</v>
      </c>
      <c r="V153" s="613"/>
      <c r="W153" s="436"/>
      <c r="X153" s="436"/>
      <c r="Y153" s="612"/>
      <c r="Z153" s="436"/>
      <c r="AA153" s="436"/>
      <c r="AB153" s="613"/>
      <c r="AC153" s="436">
        <v>59</v>
      </c>
      <c r="AD153" s="436">
        <f>IF(AC153&lt;='B1b '!$L$41,'B1b '!$M$41,IF(AND(AC153&lt;='B1b '!$L$40,AC153&gt;'B1b '!$L$41),0+(('B1b '!$M$41-'B1b '!$M$40)/('B1b '!$L$41-'B1b '!$L$40))*(AC153-'B1b '!$L$40),0))</f>
        <v>101.35922330097087</v>
      </c>
      <c r="AE153" s="613"/>
      <c r="AF153" s="436"/>
      <c r="AG153" s="436"/>
      <c r="AH153" s="183"/>
    </row>
    <row r="154" spans="2:34">
      <c r="B154" s="182"/>
      <c r="C154" s="435">
        <v>60</v>
      </c>
      <c r="D154" s="435">
        <f>IF(C154&lt;='B1b '!$G$35,'B1b '!$H$35,IF(AND(C154&lt;='B1b '!$G$34,C154&gt;'B1b '!$G$35),0+(('B1b '!$H$35-'B1b '!$H$34)/('B1b '!$G$35-'B1b '!$G$34))*(C154-'B1b '!$G$34),0))</f>
        <v>0</v>
      </c>
      <c r="E154" s="611"/>
      <c r="F154" s="435"/>
      <c r="G154" s="435"/>
      <c r="H154" s="415"/>
      <c r="I154" s="435"/>
      <c r="J154" s="435"/>
      <c r="K154" s="611"/>
      <c r="L154" s="435">
        <v>60</v>
      </c>
      <c r="M154" s="435">
        <f>IF(L154&lt;='B1b '!$G$41,'B1b '!$H$41,IF(AND(L154&lt;='B1b '!$G$40,L154&gt;'B1b '!$G$41),0+(('B1b '!$H$41-'B1b '!$H$40)/('B1b '!$G$41-'B1b '!$G$40))*(L154-'B1b '!$G$40),0))</f>
        <v>90.434782608695656</v>
      </c>
      <c r="N154" s="611"/>
      <c r="O154" s="435"/>
      <c r="P154" s="435"/>
      <c r="Q154" s="415"/>
      <c r="R154" s="434"/>
      <c r="S154" s="612"/>
      <c r="T154" s="436">
        <v>60</v>
      </c>
      <c r="U154" s="436">
        <f>IF(T154&lt;='B1b '!$L$35,'B1b '!$M$35,IF(AND(T154&lt;='B1b '!$L$34,T154&gt;'B1b '!$L$35),0+(('B1b '!$M$35-'B1b '!$M$34)/('B1b '!$L$35-'B1b '!$L$34))*(T154-'B1b '!$L$34),0))</f>
        <v>1.25</v>
      </c>
      <c r="V154" s="613"/>
      <c r="W154" s="436"/>
      <c r="X154" s="436"/>
      <c r="Y154" s="612"/>
      <c r="Z154" s="436"/>
      <c r="AA154" s="436"/>
      <c r="AB154" s="613"/>
      <c r="AC154" s="436">
        <v>60</v>
      </c>
      <c r="AD154" s="436">
        <f>IF(AC154&lt;='B1b '!$L$41,'B1b '!$M$41,IF(AND(AC154&lt;='B1b '!$L$40,AC154&gt;'B1b '!$L$41),0+(('B1b '!$M$41-'B1b '!$M$40)/('B1b '!$L$41-'B1b '!$L$40))*(AC154-'B1b '!$L$40),0))</f>
        <v>100.19417475728154</v>
      </c>
      <c r="AE154" s="613"/>
      <c r="AF154" s="436"/>
      <c r="AG154" s="436"/>
      <c r="AH154" s="183"/>
    </row>
    <row r="155" spans="2:34">
      <c r="B155" s="182"/>
      <c r="C155" s="435">
        <v>61</v>
      </c>
      <c r="D155" s="435">
        <f>IF(C155&lt;='B1b '!$G$35,'B1b '!$H$35,IF(AND(C155&lt;='B1b '!$G$34,C155&gt;'B1b '!$G$35),0+(('B1b '!$H$35-'B1b '!$H$34)/('B1b '!$G$35-'B1b '!$G$34))*(C155-'B1b '!$G$34),0))</f>
        <v>0</v>
      </c>
      <c r="E155" s="611"/>
      <c r="F155" s="435"/>
      <c r="G155" s="435"/>
      <c r="H155" s="415"/>
      <c r="I155" s="435"/>
      <c r="J155" s="435"/>
      <c r="K155" s="611"/>
      <c r="L155" s="435">
        <v>61</v>
      </c>
      <c r="M155" s="435">
        <f>IF(L155&lt;='B1b '!$G$41,'B1b '!$H$41,IF(AND(L155&lt;='B1b '!$G$40,L155&gt;'B1b '!$G$41),0+(('B1b '!$H$41-'B1b '!$H$40)/('B1b '!$G$41-'B1b '!$G$40))*(L155-'B1b '!$G$40),0))</f>
        <v>88.695652173913047</v>
      </c>
      <c r="N155" s="611"/>
      <c r="O155" s="435"/>
      <c r="P155" s="435"/>
      <c r="Q155" s="415"/>
      <c r="R155" s="434"/>
      <c r="S155" s="612"/>
      <c r="T155" s="436">
        <v>61</v>
      </c>
      <c r="U155" s="436">
        <f>IF(T155&lt;='B1b '!$L$35,'B1b '!$M$35,IF(AND(T155&lt;='B1b '!$L$34,T155&gt;'B1b '!$L$35),0+(('B1b '!$M$35-'B1b '!$M$34)/('B1b '!$L$35-'B1b '!$L$34))*(T155-'B1b '!$L$34),0))</f>
        <v>0.625</v>
      </c>
      <c r="V155" s="613"/>
      <c r="W155" s="436"/>
      <c r="X155" s="436"/>
      <c r="Y155" s="612"/>
      <c r="Z155" s="436"/>
      <c r="AA155" s="436"/>
      <c r="AB155" s="613"/>
      <c r="AC155" s="436">
        <v>61</v>
      </c>
      <c r="AD155" s="436">
        <f>IF(AC155&lt;='B1b '!$L$41,'B1b '!$M$41,IF(AND(AC155&lt;='B1b '!$L$40,AC155&gt;'B1b '!$L$41),0+(('B1b '!$M$41-'B1b '!$M$40)/('B1b '!$L$41-'B1b '!$L$40))*(AC155-'B1b '!$L$40),0))</f>
        <v>99.029126213592221</v>
      </c>
      <c r="AE155" s="613"/>
      <c r="AF155" s="436"/>
      <c r="AG155" s="436"/>
      <c r="AH155" s="183"/>
    </row>
    <row r="156" spans="2:34">
      <c r="B156" s="182"/>
      <c r="C156" s="435">
        <v>62</v>
      </c>
      <c r="D156" s="435">
        <f>IF(C156&lt;='B1b '!$G$35,'B1b '!$H$35,IF(AND(C156&lt;='B1b '!$G$34,C156&gt;'B1b '!$G$35),0+(('B1b '!$H$35-'B1b '!$H$34)/('B1b '!$G$35-'B1b '!$G$34))*(C156-'B1b '!$G$34),0))</f>
        <v>0</v>
      </c>
      <c r="E156" s="415"/>
      <c r="F156" s="435"/>
      <c r="G156" s="435"/>
      <c r="H156" s="415"/>
      <c r="I156" s="435"/>
      <c r="J156" s="435"/>
      <c r="K156" s="415"/>
      <c r="L156" s="435">
        <v>62</v>
      </c>
      <c r="M156" s="435">
        <f>IF(L156&lt;='B1b '!$G$41,'B1b '!$H$41,IF(AND(L156&lt;='B1b '!$G$40,L156&gt;'B1b '!$G$41),0+(('B1b '!$H$41-'B1b '!$H$40)/('B1b '!$G$41-'B1b '!$G$40))*(L156-'B1b '!$G$40),0))</f>
        <v>86.956521739130437</v>
      </c>
      <c r="N156" s="415"/>
      <c r="O156" s="435"/>
      <c r="P156" s="435"/>
      <c r="Q156" s="415"/>
      <c r="R156" s="434"/>
      <c r="S156" s="612"/>
      <c r="T156" s="436">
        <v>62</v>
      </c>
      <c r="U156" s="436">
        <f>IF(T156&lt;='B1b '!$L$35,'B1b '!$M$35,IF(AND(T156&lt;='B1b '!$L$34,T156&gt;'B1b '!$L$35),0+(('B1b '!$M$35-'B1b '!$M$34)/('B1b '!$L$35-'B1b '!$L$34))*(T156-'B1b '!$L$34),0))</f>
        <v>0</v>
      </c>
      <c r="V156" s="612"/>
      <c r="W156" s="436"/>
      <c r="X156" s="436"/>
      <c r="Y156" s="612"/>
      <c r="Z156" s="436"/>
      <c r="AA156" s="436"/>
      <c r="AB156" s="614"/>
      <c r="AC156" s="436">
        <v>62</v>
      </c>
      <c r="AD156" s="436">
        <f>IF(AC156&lt;='B1b '!$L$41,'B1b '!$M$41,IF(AND(AC156&lt;='B1b '!$L$40,AC156&gt;'B1b '!$L$41),0+(('B1b '!$M$41-'B1b '!$M$40)/('B1b '!$L$41-'B1b '!$L$40))*(AC156-'B1b '!$L$40),0))</f>
        <v>97.864077669902912</v>
      </c>
      <c r="AE156" s="614"/>
      <c r="AF156" s="436"/>
      <c r="AG156" s="436"/>
      <c r="AH156" s="183"/>
    </row>
    <row r="157" spans="2:34">
      <c r="B157" s="182"/>
      <c r="C157" s="435">
        <v>63</v>
      </c>
      <c r="D157" s="435">
        <f>IF(C157&lt;='B1b '!$G$35,'B1b '!$H$35,IF(AND(C157&lt;='B1b '!$G$34,C157&gt;'B1b '!$G$35),0+(('B1b '!$H$35-'B1b '!$H$34)/('B1b '!$G$35-'B1b '!$G$34))*(C157-'B1b '!$G$34),0))</f>
        <v>0</v>
      </c>
      <c r="E157" s="415"/>
      <c r="F157" s="435"/>
      <c r="G157" s="435"/>
      <c r="H157" s="415"/>
      <c r="I157" s="435"/>
      <c r="J157" s="435"/>
      <c r="K157" s="415"/>
      <c r="L157" s="435">
        <v>63</v>
      </c>
      <c r="M157" s="435">
        <f>IF(L157&lt;='B1b '!$G$41,'B1b '!$H$41,IF(AND(L157&lt;='B1b '!$G$40,L157&gt;'B1b '!$G$41),0+(('B1b '!$H$41-'B1b '!$H$40)/('B1b '!$G$41-'B1b '!$G$40))*(L157-'B1b '!$G$40),0))</f>
        <v>85.217391304347828</v>
      </c>
      <c r="N157" s="415"/>
      <c r="O157" s="435"/>
      <c r="P157" s="435"/>
      <c r="Q157" s="415"/>
      <c r="R157" s="434"/>
      <c r="S157" s="612"/>
      <c r="T157" s="436">
        <v>63</v>
      </c>
      <c r="U157" s="436">
        <f>IF(T157&lt;='B1b '!$L$35,'B1b '!$M$35,IF(AND(T157&lt;='B1b '!$L$34,T157&gt;'B1b '!$L$35),0+(('B1b '!$M$35-'B1b '!$M$34)/('B1b '!$L$35-'B1b '!$L$34))*(T157-'B1b '!$L$34),0))</f>
        <v>0</v>
      </c>
      <c r="V157" s="612"/>
      <c r="W157" s="436"/>
      <c r="X157" s="436"/>
      <c r="Y157" s="612"/>
      <c r="Z157" s="436"/>
      <c r="AA157" s="436"/>
      <c r="AB157" s="614"/>
      <c r="AC157" s="436">
        <v>63</v>
      </c>
      <c r="AD157" s="436">
        <f>IF(AC157&lt;='B1b '!$L$41,'B1b '!$M$41,IF(AND(AC157&lt;='B1b '!$L$40,AC157&gt;'B1b '!$L$41),0+(('B1b '!$M$41-'B1b '!$M$40)/('B1b '!$L$41-'B1b '!$L$40))*(AC157-'B1b '!$L$40),0))</f>
        <v>96.699029126213588</v>
      </c>
      <c r="AE157" s="614"/>
      <c r="AF157" s="436"/>
      <c r="AG157" s="436"/>
      <c r="AH157" s="183"/>
    </row>
    <row r="158" spans="2:34">
      <c r="B158" s="182"/>
      <c r="C158" s="435">
        <v>64</v>
      </c>
      <c r="D158" s="435">
        <f>IF(C158&lt;='B1b '!$G$35,'B1b '!$H$35,IF(AND(C158&lt;='B1b '!$G$34,C158&gt;'B1b '!$G$35),0+(('B1b '!$H$35-'B1b '!$H$34)/('B1b '!$G$35-'B1b '!$G$34))*(C158-'B1b '!$G$34),0))</f>
        <v>0</v>
      </c>
      <c r="E158" s="415"/>
      <c r="F158" s="435"/>
      <c r="G158" s="435"/>
      <c r="H158" s="415"/>
      <c r="I158" s="435"/>
      <c r="J158" s="435"/>
      <c r="K158" s="415"/>
      <c r="L158" s="435">
        <v>64</v>
      </c>
      <c r="M158" s="435">
        <f>IF(L158&lt;='B1b '!$G$41,'B1b '!$H$41,IF(AND(L158&lt;='B1b '!$G$40,L158&gt;'B1b '!$G$41),0+(('B1b '!$H$41-'B1b '!$H$40)/('B1b '!$G$41-'B1b '!$G$40))*(L158-'B1b '!$G$40),0))</f>
        <v>83.478260869565219</v>
      </c>
      <c r="N158" s="415"/>
      <c r="O158" s="435"/>
      <c r="P158" s="435"/>
      <c r="Q158" s="415"/>
      <c r="R158" s="434"/>
      <c r="S158" s="612"/>
      <c r="T158" s="436">
        <v>64</v>
      </c>
      <c r="U158" s="436">
        <f>IF(T158&lt;='B1b '!$L$35,'B1b '!$M$35,IF(AND(T158&lt;='B1b '!$L$34,T158&gt;'B1b '!$L$35),0+(('B1b '!$M$35-'B1b '!$M$34)/('B1b '!$L$35-'B1b '!$L$34))*(T158-'B1b '!$L$34),0))</f>
        <v>0</v>
      </c>
      <c r="V158" s="612"/>
      <c r="W158" s="436"/>
      <c r="X158" s="436"/>
      <c r="Y158" s="612"/>
      <c r="Z158" s="436"/>
      <c r="AA158" s="436"/>
      <c r="AB158" s="614"/>
      <c r="AC158" s="436">
        <v>64</v>
      </c>
      <c r="AD158" s="436">
        <f>IF(AC158&lt;='B1b '!$L$41,'B1b '!$M$41,IF(AND(AC158&lt;='B1b '!$L$40,AC158&gt;'B1b '!$L$41),0+(('B1b '!$M$41-'B1b '!$M$40)/('B1b '!$L$41-'B1b '!$L$40))*(AC158-'B1b '!$L$40),0))</f>
        <v>95.533980582524265</v>
      </c>
      <c r="AE158" s="614"/>
      <c r="AF158" s="436"/>
      <c r="AG158" s="436"/>
      <c r="AH158" s="183"/>
    </row>
    <row r="159" spans="2:34">
      <c r="B159" s="182"/>
      <c r="C159" s="435">
        <v>65</v>
      </c>
      <c r="D159" s="435">
        <f>IF(C159&lt;='B1b '!$G$35,'B1b '!$H$35,IF(AND(C159&lt;='B1b '!$G$34,C159&gt;'B1b '!$G$35),0+(('B1b '!$H$35-'B1b '!$H$34)/('B1b '!$G$35-'B1b '!$G$34))*(C159-'B1b '!$G$34),0))</f>
        <v>0</v>
      </c>
      <c r="E159" s="415"/>
      <c r="F159" s="435"/>
      <c r="G159" s="435"/>
      <c r="H159" s="415"/>
      <c r="I159" s="435"/>
      <c r="J159" s="435"/>
      <c r="K159" s="415"/>
      <c r="L159" s="435">
        <v>65</v>
      </c>
      <c r="M159" s="435">
        <f>IF(L159&lt;='B1b '!$G$41,'B1b '!$H$41,IF(AND(L159&lt;='B1b '!$G$40,L159&gt;'B1b '!$G$41),0+(('B1b '!$H$41-'B1b '!$H$40)/('B1b '!$G$41-'B1b '!$G$40))*(L159-'B1b '!$G$40),0))</f>
        <v>81.739130434782609</v>
      </c>
      <c r="N159" s="415"/>
      <c r="O159" s="435"/>
      <c r="P159" s="435"/>
      <c r="Q159" s="415"/>
      <c r="R159" s="434"/>
      <c r="S159" s="612"/>
      <c r="T159" s="436">
        <v>65</v>
      </c>
      <c r="U159" s="436">
        <f>IF(T159&lt;='B1b '!$L$35,'B1b '!$M$35,IF(AND(T159&lt;='B1b '!$L$34,T159&gt;'B1b '!$L$35),0+(('B1b '!$M$35-'B1b '!$M$34)/('B1b '!$L$35-'B1b '!$L$34))*(T159-'B1b '!$L$34),0))</f>
        <v>0</v>
      </c>
      <c r="V159" s="612"/>
      <c r="W159" s="436"/>
      <c r="X159" s="436"/>
      <c r="Y159" s="612"/>
      <c r="Z159" s="436"/>
      <c r="AA159" s="436"/>
      <c r="AB159" s="614"/>
      <c r="AC159" s="436">
        <v>65</v>
      </c>
      <c r="AD159" s="436">
        <f>IF(AC159&lt;='B1b '!$L$41,'B1b '!$M$41,IF(AND(AC159&lt;='B1b '!$L$40,AC159&gt;'B1b '!$L$41),0+(('B1b '!$M$41-'B1b '!$M$40)/('B1b '!$L$41-'B1b '!$L$40))*(AC159-'B1b '!$L$40),0))</f>
        <v>94.368932038834942</v>
      </c>
      <c r="AE159" s="614"/>
      <c r="AF159" s="436"/>
      <c r="AG159" s="436"/>
      <c r="AH159" s="183"/>
    </row>
    <row r="160" spans="2:34">
      <c r="B160" s="182"/>
      <c r="C160" s="435">
        <v>66</v>
      </c>
      <c r="D160" s="435">
        <f>IF(C160&lt;='B1b '!$G$35,'B1b '!$H$35,IF(AND(C160&lt;='B1b '!$G$34,C160&gt;'B1b '!$G$35),0+(('B1b '!$H$35-'B1b '!$H$34)/('B1b '!$G$35-'B1b '!$G$34))*(C160-'B1b '!$G$34),0))</f>
        <v>0</v>
      </c>
      <c r="E160" s="415"/>
      <c r="F160" s="435"/>
      <c r="G160" s="435"/>
      <c r="H160" s="415"/>
      <c r="I160" s="435"/>
      <c r="J160" s="435"/>
      <c r="K160" s="415"/>
      <c r="L160" s="435">
        <v>66</v>
      </c>
      <c r="M160" s="435">
        <f>IF(L160&lt;='B1b '!$G$41,'B1b '!$H$41,IF(AND(L160&lt;='B1b '!$G$40,L160&gt;'B1b '!$G$41),0+(('B1b '!$H$41-'B1b '!$H$40)/('B1b '!$G$41-'B1b '!$G$40))*(L160-'B1b '!$G$40),0))</f>
        <v>80</v>
      </c>
      <c r="N160" s="415"/>
      <c r="O160" s="435"/>
      <c r="P160" s="435"/>
      <c r="Q160" s="415"/>
      <c r="R160" s="434"/>
      <c r="S160" s="612"/>
      <c r="T160" s="436">
        <v>66</v>
      </c>
      <c r="U160" s="436">
        <f>IF(T160&lt;='B1b '!$L$35,'B1b '!$M$35,IF(AND(T160&lt;='B1b '!$L$34,T160&gt;'B1b '!$L$35),0+(('B1b '!$M$35-'B1b '!$M$34)/('B1b '!$L$35-'B1b '!$L$34))*(T160-'B1b '!$L$34),0))</f>
        <v>0</v>
      </c>
      <c r="V160" s="612"/>
      <c r="W160" s="436"/>
      <c r="X160" s="436"/>
      <c r="Y160" s="612"/>
      <c r="Z160" s="436"/>
      <c r="AA160" s="436"/>
      <c r="AB160" s="614"/>
      <c r="AC160" s="436">
        <v>66</v>
      </c>
      <c r="AD160" s="436">
        <f>IF(AC160&lt;='B1b '!$L$41,'B1b '!$M$41,IF(AND(AC160&lt;='B1b '!$L$40,AC160&gt;'B1b '!$L$41),0+(('B1b '!$M$41-'B1b '!$M$40)/('B1b '!$L$41-'B1b '!$L$40))*(AC160-'B1b '!$L$40),0))</f>
        <v>93.203883495145618</v>
      </c>
      <c r="AE160" s="614"/>
      <c r="AF160" s="436"/>
      <c r="AG160" s="436"/>
      <c r="AH160" s="183"/>
    </row>
    <row r="161" spans="2:34">
      <c r="B161" s="182"/>
      <c r="C161" s="435">
        <v>67</v>
      </c>
      <c r="D161" s="435">
        <f>IF(C161&lt;='B1b '!$G$35,'B1b '!$H$35,IF(AND(C161&lt;='B1b '!$G$34,C161&gt;'B1b '!$G$35),0+(('B1b '!$H$35-'B1b '!$H$34)/('B1b '!$G$35-'B1b '!$G$34))*(C161-'B1b '!$G$34),0))</f>
        <v>0</v>
      </c>
      <c r="E161" s="415"/>
      <c r="F161" s="435"/>
      <c r="G161" s="435"/>
      <c r="H161" s="415"/>
      <c r="I161" s="435"/>
      <c r="J161" s="435"/>
      <c r="K161" s="415"/>
      <c r="L161" s="435">
        <v>67</v>
      </c>
      <c r="M161" s="435">
        <f>IF(L161&lt;='B1b '!$G$41,'B1b '!$H$41,IF(AND(L161&lt;='B1b '!$G$40,L161&gt;'B1b '!$G$41),0+(('B1b '!$H$41-'B1b '!$H$40)/('B1b '!$G$41-'B1b '!$G$40))*(L161-'B1b '!$G$40),0))</f>
        <v>78.260869565217391</v>
      </c>
      <c r="N161" s="415"/>
      <c r="O161" s="435"/>
      <c r="P161" s="435"/>
      <c r="Q161" s="415"/>
      <c r="R161" s="434"/>
      <c r="S161" s="612"/>
      <c r="T161" s="436">
        <v>67</v>
      </c>
      <c r="U161" s="436">
        <f>IF(T161&lt;='B1b '!$L$35,'B1b '!$M$35,IF(AND(T161&lt;='B1b '!$L$34,T161&gt;'B1b '!$L$35),0+(('B1b '!$M$35-'B1b '!$M$34)/('B1b '!$L$35-'B1b '!$L$34))*(T161-'B1b '!$L$34),0))</f>
        <v>0</v>
      </c>
      <c r="V161" s="612"/>
      <c r="W161" s="436"/>
      <c r="X161" s="436"/>
      <c r="Y161" s="612"/>
      <c r="Z161" s="436"/>
      <c r="AA161" s="436"/>
      <c r="AB161" s="614"/>
      <c r="AC161" s="436">
        <v>67</v>
      </c>
      <c r="AD161" s="436">
        <f>IF(AC161&lt;='B1b '!$L$41,'B1b '!$M$41,IF(AND(AC161&lt;='B1b '!$L$40,AC161&gt;'B1b '!$L$41),0+(('B1b '!$M$41-'B1b '!$M$40)/('B1b '!$L$41-'B1b '!$L$40))*(AC161-'B1b '!$L$40),0))</f>
        <v>92.038834951456309</v>
      </c>
      <c r="AE161" s="614"/>
      <c r="AF161" s="436"/>
      <c r="AG161" s="436"/>
      <c r="AH161" s="183"/>
    </row>
    <row r="162" spans="2:34">
      <c r="B162" s="182"/>
      <c r="C162" s="435">
        <v>68</v>
      </c>
      <c r="D162" s="435">
        <f>IF(C162&lt;='B1b '!$G$35,'B1b '!$H$35,IF(AND(C162&lt;='B1b '!$G$34,C162&gt;'B1b '!$G$35),0+(('B1b '!$H$35-'B1b '!$H$34)/('B1b '!$G$35-'B1b '!$G$34))*(C162-'B1b '!$G$34),0))</f>
        <v>0</v>
      </c>
      <c r="E162" s="415"/>
      <c r="F162" s="435"/>
      <c r="G162" s="435"/>
      <c r="H162" s="415"/>
      <c r="I162" s="435"/>
      <c r="J162" s="435"/>
      <c r="K162" s="415"/>
      <c r="L162" s="435">
        <v>68</v>
      </c>
      <c r="M162" s="435">
        <f>IF(L162&lt;='B1b '!$G$41,'B1b '!$H$41,IF(AND(L162&lt;='B1b '!$G$40,L162&gt;'B1b '!$G$41),0+(('B1b '!$H$41-'B1b '!$H$40)/('B1b '!$G$41-'B1b '!$G$40))*(L162-'B1b '!$G$40),0))</f>
        <v>76.521739130434781</v>
      </c>
      <c r="N162" s="415"/>
      <c r="O162" s="435"/>
      <c r="P162" s="435"/>
      <c r="Q162" s="415"/>
      <c r="R162" s="434"/>
      <c r="S162" s="612"/>
      <c r="T162" s="436">
        <v>68</v>
      </c>
      <c r="U162" s="436">
        <f>IF(T162&lt;='B1b '!$L$35,'B1b '!$M$35,IF(AND(T162&lt;='B1b '!$L$34,T162&gt;'B1b '!$L$35),0+(('B1b '!$M$35-'B1b '!$M$34)/('B1b '!$L$35-'B1b '!$L$34))*(T162-'B1b '!$L$34),0))</f>
        <v>0</v>
      </c>
      <c r="V162" s="612"/>
      <c r="W162" s="436"/>
      <c r="X162" s="436"/>
      <c r="Y162" s="612"/>
      <c r="Z162" s="436"/>
      <c r="AA162" s="436"/>
      <c r="AB162" s="614"/>
      <c r="AC162" s="436">
        <v>68</v>
      </c>
      <c r="AD162" s="436">
        <f>IF(AC162&lt;='B1b '!$L$41,'B1b '!$M$41,IF(AND(AC162&lt;='B1b '!$L$40,AC162&gt;'B1b '!$L$41),0+(('B1b '!$M$41-'B1b '!$M$40)/('B1b '!$L$41-'B1b '!$L$40))*(AC162-'B1b '!$L$40),0))</f>
        <v>90.873786407766985</v>
      </c>
      <c r="AE162" s="614"/>
      <c r="AF162" s="436"/>
      <c r="AG162" s="436"/>
      <c r="AH162" s="183"/>
    </row>
    <row r="163" spans="2:34">
      <c r="B163" s="182"/>
      <c r="C163" s="435">
        <v>69</v>
      </c>
      <c r="D163" s="435">
        <f>IF(C163&lt;='B1b '!$G$35,'B1b '!$H$35,IF(AND(C163&lt;='B1b '!$G$34,C163&gt;'B1b '!$G$35),0+(('B1b '!$H$35-'B1b '!$H$34)/('B1b '!$G$35-'B1b '!$G$34))*(C163-'B1b '!$G$34),0))</f>
        <v>0</v>
      </c>
      <c r="E163" s="415"/>
      <c r="F163" s="435"/>
      <c r="G163" s="435"/>
      <c r="H163" s="415"/>
      <c r="I163" s="435"/>
      <c r="J163" s="435"/>
      <c r="K163" s="415"/>
      <c r="L163" s="435">
        <v>69</v>
      </c>
      <c r="M163" s="435">
        <f>IF(L163&lt;='B1b '!$G$41,'B1b '!$H$41,IF(AND(L163&lt;='B1b '!$G$40,L163&gt;'B1b '!$G$41),0+(('B1b '!$H$41-'B1b '!$H$40)/('B1b '!$G$41-'B1b '!$G$40))*(L163-'B1b '!$G$40),0))</f>
        <v>74.782608695652172</v>
      </c>
      <c r="N163" s="415"/>
      <c r="O163" s="435"/>
      <c r="P163" s="435"/>
      <c r="Q163" s="415"/>
      <c r="R163" s="434"/>
      <c r="S163" s="612"/>
      <c r="T163" s="436">
        <v>69</v>
      </c>
      <c r="U163" s="436">
        <f>IF(T163&lt;='B1b '!$L$35,'B1b '!$M$35,IF(AND(T163&lt;='B1b '!$L$34,T163&gt;'B1b '!$L$35),0+(('B1b '!$M$35-'B1b '!$M$34)/('B1b '!$L$35-'B1b '!$L$34))*(T163-'B1b '!$L$34),0))</f>
        <v>0</v>
      </c>
      <c r="V163" s="612"/>
      <c r="W163" s="436"/>
      <c r="X163" s="436"/>
      <c r="Y163" s="612"/>
      <c r="Z163" s="436"/>
      <c r="AA163" s="436"/>
      <c r="AB163" s="614"/>
      <c r="AC163" s="436">
        <v>69</v>
      </c>
      <c r="AD163" s="436">
        <f>IF(AC163&lt;='B1b '!$L$41,'B1b '!$M$41,IF(AND(AC163&lt;='B1b '!$L$40,AC163&gt;'B1b '!$L$41),0+(('B1b '!$M$41-'B1b '!$M$40)/('B1b '!$L$41-'B1b '!$L$40))*(AC163-'B1b '!$L$40),0))</f>
        <v>89.708737864077662</v>
      </c>
      <c r="AE163" s="614"/>
      <c r="AF163" s="436"/>
      <c r="AG163" s="436"/>
      <c r="AH163" s="183"/>
    </row>
    <row r="164" spans="2:34">
      <c r="B164" s="182"/>
      <c r="C164" s="435">
        <v>70</v>
      </c>
      <c r="D164" s="435">
        <f>IF(C164&lt;='B1b '!$G$35,'B1b '!$H$35,IF(AND(C164&lt;='B1b '!$G$34,C164&gt;'B1b '!$G$35),0+(('B1b '!$H$35-'B1b '!$H$34)/('B1b '!$G$35-'B1b '!$G$34))*(C164-'B1b '!$G$34),0))</f>
        <v>0</v>
      </c>
      <c r="E164" s="415"/>
      <c r="F164" s="435"/>
      <c r="G164" s="435"/>
      <c r="H164" s="415"/>
      <c r="I164" s="435"/>
      <c r="J164" s="435"/>
      <c r="K164" s="415"/>
      <c r="L164" s="435">
        <v>70</v>
      </c>
      <c r="M164" s="435">
        <f>IF(L164&lt;='B1b '!$G$41,'B1b '!$H$41,IF(AND(L164&lt;='B1b '!$G$40,L164&gt;'B1b '!$G$41),0+(('B1b '!$H$41-'B1b '!$H$40)/('B1b '!$G$41-'B1b '!$G$40))*(L164-'B1b '!$G$40),0))</f>
        <v>73.043478260869563</v>
      </c>
      <c r="N164" s="415"/>
      <c r="O164" s="435"/>
      <c r="P164" s="435"/>
      <c r="Q164" s="415"/>
      <c r="R164" s="434"/>
      <c r="S164" s="612"/>
      <c r="T164" s="436">
        <v>70</v>
      </c>
      <c r="U164" s="436">
        <f>IF(T164&lt;='B1b '!$L$35,'B1b '!$M$35,IF(AND(T164&lt;='B1b '!$L$34,T164&gt;'B1b '!$L$35),0+(('B1b '!$M$35-'B1b '!$M$34)/('B1b '!$L$35-'B1b '!$L$34))*(T164-'B1b '!$L$34),0))</f>
        <v>0</v>
      </c>
      <c r="V164" s="612"/>
      <c r="W164" s="436"/>
      <c r="X164" s="436"/>
      <c r="Y164" s="612"/>
      <c r="Z164" s="436"/>
      <c r="AA164" s="436"/>
      <c r="AB164" s="614"/>
      <c r="AC164" s="436">
        <v>70</v>
      </c>
      <c r="AD164" s="436">
        <f>IF(AC164&lt;='B1b '!$L$41,'B1b '!$M$41,IF(AND(AC164&lt;='B1b '!$L$40,AC164&gt;'B1b '!$L$41),0+(('B1b '!$M$41-'B1b '!$M$40)/('B1b '!$L$41-'B1b '!$L$40))*(AC164-'B1b '!$L$40),0))</f>
        <v>88.543689320388339</v>
      </c>
      <c r="AE164" s="614"/>
      <c r="AF164" s="436"/>
      <c r="AG164" s="436"/>
      <c r="AH164" s="183"/>
    </row>
    <row r="165" spans="2:34">
      <c r="B165" s="182"/>
      <c r="C165" s="435">
        <v>71</v>
      </c>
      <c r="D165" s="435">
        <f>IF(C165&lt;='B1b '!$G$35,'B1b '!$H$35,IF(AND(C165&lt;='B1b '!$G$34,C165&gt;'B1b '!$G$35),0+(('B1b '!$H$35-'B1b '!$H$34)/('B1b '!$G$35-'B1b '!$G$34))*(C165-'B1b '!$G$34),0))</f>
        <v>0</v>
      </c>
      <c r="E165" s="415"/>
      <c r="F165" s="435"/>
      <c r="G165" s="435"/>
      <c r="H165" s="415"/>
      <c r="I165" s="435"/>
      <c r="J165" s="435"/>
      <c r="K165" s="415"/>
      <c r="L165" s="435">
        <v>71</v>
      </c>
      <c r="M165" s="435">
        <f>IF(L165&lt;='B1b '!$G$41,'B1b '!$H$41,IF(AND(L165&lt;='B1b '!$G$40,L165&gt;'B1b '!$G$41),0+(('B1b '!$H$41-'B1b '!$H$40)/('B1b '!$G$41-'B1b '!$G$40))*(L165-'B1b '!$G$40),0))</f>
        <v>71.304347826086953</v>
      </c>
      <c r="N165" s="415"/>
      <c r="O165" s="435"/>
      <c r="P165" s="435"/>
      <c r="Q165" s="415"/>
      <c r="R165" s="434"/>
      <c r="S165" s="612"/>
      <c r="T165" s="436">
        <v>71</v>
      </c>
      <c r="U165" s="436">
        <f>IF(T165&lt;='B1b '!$L$35,'B1b '!$M$35,IF(AND(T165&lt;='B1b '!$L$34,T165&gt;'B1b '!$L$35),0+(('B1b '!$M$35-'B1b '!$M$34)/('B1b '!$L$35-'B1b '!$L$34))*(T165-'B1b '!$L$34),0))</f>
        <v>0</v>
      </c>
      <c r="V165" s="612"/>
      <c r="W165" s="436"/>
      <c r="X165" s="436"/>
      <c r="Y165" s="612"/>
      <c r="Z165" s="436"/>
      <c r="AA165" s="436"/>
      <c r="AB165" s="612"/>
      <c r="AC165" s="436">
        <v>71</v>
      </c>
      <c r="AD165" s="436">
        <f>IF(AC165&lt;='B1b '!$L$41,'B1b '!$M$41,IF(AND(AC165&lt;='B1b '!$L$40,AC165&gt;'B1b '!$L$41),0+(('B1b '!$M$41-'B1b '!$M$40)/('B1b '!$L$41-'B1b '!$L$40))*(AC165-'B1b '!$L$40),0))</f>
        <v>87.378640776699029</v>
      </c>
      <c r="AE165" s="612"/>
      <c r="AF165" s="436"/>
      <c r="AG165" s="436"/>
      <c r="AH165" s="183"/>
    </row>
    <row r="166" spans="2:34">
      <c r="B166" s="182"/>
      <c r="C166" s="435">
        <v>72</v>
      </c>
      <c r="D166" s="435">
        <f>IF(C166&lt;='B1b '!$G$35,'B1b '!$H$35,IF(AND(C166&lt;='B1b '!$G$34,C166&gt;'B1b '!$G$35),0+(('B1b '!$H$35-'B1b '!$H$34)/('B1b '!$G$35-'B1b '!$G$34))*(C166-'B1b '!$G$34),0))</f>
        <v>0</v>
      </c>
      <c r="E166" s="415"/>
      <c r="F166" s="435"/>
      <c r="G166" s="435"/>
      <c r="H166" s="415"/>
      <c r="I166" s="435"/>
      <c r="J166" s="435"/>
      <c r="K166" s="415"/>
      <c r="L166" s="435">
        <v>72</v>
      </c>
      <c r="M166" s="435">
        <f>IF(L166&lt;='B1b '!$G$41,'B1b '!$H$41,IF(AND(L166&lt;='B1b '!$G$40,L166&gt;'B1b '!$G$41),0+(('B1b '!$H$41-'B1b '!$H$40)/('B1b '!$G$41-'B1b '!$G$40))*(L166-'B1b '!$G$40),0))</f>
        <v>69.565217391304344</v>
      </c>
      <c r="N166" s="415"/>
      <c r="O166" s="435"/>
      <c r="P166" s="435"/>
      <c r="Q166" s="415"/>
      <c r="R166" s="434"/>
      <c r="S166" s="612"/>
      <c r="T166" s="436">
        <v>72</v>
      </c>
      <c r="U166" s="436">
        <f>IF(T166&lt;='B1b '!$L$35,'B1b '!$M$35,IF(AND(T166&lt;='B1b '!$L$34,T166&gt;'B1b '!$L$35),0+(('B1b '!$M$35-'B1b '!$M$34)/('B1b '!$L$35-'B1b '!$L$34))*(T166-'B1b '!$L$34),0))</f>
        <v>0</v>
      </c>
      <c r="V166" s="612"/>
      <c r="W166" s="436"/>
      <c r="X166" s="436"/>
      <c r="Y166" s="612"/>
      <c r="Z166" s="436"/>
      <c r="AA166" s="436"/>
      <c r="AB166" s="612"/>
      <c r="AC166" s="436">
        <v>72</v>
      </c>
      <c r="AD166" s="436">
        <f>IF(AC166&lt;='B1b '!$L$41,'B1b '!$M$41,IF(AND(AC166&lt;='B1b '!$L$40,AC166&gt;'B1b '!$L$41),0+(('B1b '!$M$41-'B1b '!$M$40)/('B1b '!$L$41-'B1b '!$L$40))*(AC166-'B1b '!$L$40),0))</f>
        <v>86.213592233009706</v>
      </c>
      <c r="AE166" s="612"/>
      <c r="AF166" s="436"/>
      <c r="AG166" s="436"/>
      <c r="AH166" s="183"/>
    </row>
    <row r="167" spans="2:34">
      <c r="B167" s="182"/>
      <c r="C167" s="435">
        <v>73</v>
      </c>
      <c r="D167" s="435">
        <f>IF(C167&lt;='B1b '!$G$35,'B1b '!$H$35,IF(AND(C167&lt;='B1b '!$G$34,C167&gt;'B1b '!$G$35),0+(('B1b '!$H$35-'B1b '!$H$34)/('B1b '!$G$35-'B1b '!$G$34))*(C167-'B1b '!$G$34),0))</f>
        <v>0</v>
      </c>
      <c r="E167" s="415"/>
      <c r="F167" s="435"/>
      <c r="G167" s="435"/>
      <c r="H167" s="415"/>
      <c r="I167" s="435"/>
      <c r="J167" s="435"/>
      <c r="K167" s="415"/>
      <c r="L167" s="435">
        <v>73</v>
      </c>
      <c r="M167" s="435">
        <f>IF(L167&lt;='B1b '!$G$41,'B1b '!$H$41,IF(AND(L167&lt;='B1b '!$G$40,L167&gt;'B1b '!$G$41),0+(('B1b '!$H$41-'B1b '!$H$40)/('B1b '!$G$41-'B1b '!$G$40))*(L167-'B1b '!$G$40),0))</f>
        <v>67.826086956521735</v>
      </c>
      <c r="N167" s="415"/>
      <c r="O167" s="435"/>
      <c r="P167" s="435"/>
      <c r="Q167" s="415"/>
      <c r="R167" s="434"/>
      <c r="S167" s="612"/>
      <c r="T167" s="436">
        <v>73</v>
      </c>
      <c r="U167" s="436">
        <f>IF(T167&lt;='B1b '!$L$35,'B1b '!$M$35,IF(AND(T167&lt;='B1b '!$L$34,T167&gt;'B1b '!$L$35),0+(('B1b '!$M$35-'B1b '!$M$34)/('B1b '!$L$35-'B1b '!$L$34))*(T167-'B1b '!$L$34),0))</f>
        <v>0</v>
      </c>
      <c r="V167" s="612"/>
      <c r="W167" s="436"/>
      <c r="X167" s="436"/>
      <c r="Y167" s="612"/>
      <c r="Z167" s="436"/>
      <c r="AA167" s="436"/>
      <c r="AB167" s="612"/>
      <c r="AC167" s="436">
        <v>73</v>
      </c>
      <c r="AD167" s="436">
        <f>IF(AC167&lt;='B1b '!$L$41,'B1b '!$M$41,IF(AND(AC167&lt;='B1b '!$L$40,AC167&gt;'B1b '!$L$41),0+(('B1b '!$M$41-'B1b '!$M$40)/('B1b '!$L$41-'B1b '!$L$40))*(AC167-'B1b '!$L$40),0))</f>
        <v>85.048543689320383</v>
      </c>
      <c r="AE167" s="612"/>
      <c r="AF167" s="436"/>
      <c r="AG167" s="436"/>
      <c r="AH167" s="183"/>
    </row>
    <row r="168" spans="2:34">
      <c r="B168" s="182"/>
      <c r="C168" s="435">
        <v>74</v>
      </c>
      <c r="D168" s="435">
        <f>IF(C168&lt;='B1b '!$G$35,'B1b '!$H$35,IF(AND(C168&lt;='B1b '!$G$34,C168&gt;'B1b '!$G$35),0+(('B1b '!$H$35-'B1b '!$H$34)/('B1b '!$G$35-'B1b '!$G$34))*(C168-'B1b '!$G$34),0))</f>
        <v>0</v>
      </c>
      <c r="E168" s="415"/>
      <c r="F168" s="435"/>
      <c r="G168" s="435"/>
      <c r="H168" s="415"/>
      <c r="I168" s="435"/>
      <c r="J168" s="435"/>
      <c r="K168" s="415"/>
      <c r="L168" s="435">
        <v>74</v>
      </c>
      <c r="M168" s="435">
        <f>IF(L168&lt;='B1b '!$G$41,'B1b '!$H$41,IF(AND(L168&lt;='B1b '!$G$40,L168&gt;'B1b '!$G$41),0+(('B1b '!$H$41-'B1b '!$H$40)/('B1b '!$G$41-'B1b '!$G$40))*(L168-'B1b '!$G$40),0))</f>
        <v>66.086956521739125</v>
      </c>
      <c r="N168" s="415"/>
      <c r="O168" s="435"/>
      <c r="P168" s="435"/>
      <c r="Q168" s="415"/>
      <c r="R168" s="434"/>
      <c r="S168" s="612"/>
      <c r="T168" s="436"/>
      <c r="U168" s="436"/>
      <c r="V168" s="612"/>
      <c r="W168" s="436"/>
      <c r="X168" s="436"/>
      <c r="Y168" s="612"/>
      <c r="Z168" s="436"/>
      <c r="AA168" s="436"/>
      <c r="AB168" s="612"/>
      <c r="AC168" s="436">
        <v>74</v>
      </c>
      <c r="AD168" s="436">
        <f>IF(AC168&lt;='B1b '!$L$41,'B1b '!$M$41,IF(AND(AC168&lt;='B1b '!$L$40,AC168&gt;'B1b '!$L$41),0+(('B1b '!$M$41-'B1b '!$M$40)/('B1b '!$L$41-'B1b '!$L$40))*(AC168-'B1b '!$L$40),0))</f>
        <v>83.883495145631059</v>
      </c>
      <c r="AE168" s="612"/>
      <c r="AF168" s="436"/>
      <c r="AG168" s="436"/>
      <c r="AH168" s="183"/>
    </row>
    <row r="169" spans="2:34">
      <c r="B169" s="182"/>
      <c r="C169" s="435">
        <v>75</v>
      </c>
      <c r="D169" s="435">
        <f>IF(C169&lt;='B1b '!$G$35,'B1b '!$H$35,IF(AND(C169&lt;='B1b '!$G$34,C169&gt;'B1b '!$G$35),0+(('B1b '!$H$35-'B1b '!$H$34)/('B1b '!$G$35-'B1b '!$G$34))*(C169-'B1b '!$G$34),0))</f>
        <v>0</v>
      </c>
      <c r="E169" s="415"/>
      <c r="F169" s="435"/>
      <c r="G169" s="435"/>
      <c r="H169" s="415"/>
      <c r="I169" s="435"/>
      <c r="J169" s="435"/>
      <c r="K169" s="415"/>
      <c r="L169" s="435">
        <v>75</v>
      </c>
      <c r="M169" s="435">
        <f>IF(L169&lt;='B1b '!$G$41,'B1b '!$H$41,IF(AND(L169&lt;='B1b '!$G$40,L169&gt;'B1b '!$G$41),0+(('B1b '!$H$41-'B1b '!$H$40)/('B1b '!$G$41-'B1b '!$G$40))*(L169-'B1b '!$G$40),0))</f>
        <v>64.347826086956516</v>
      </c>
      <c r="N169" s="415"/>
      <c r="O169" s="435"/>
      <c r="P169" s="435"/>
      <c r="Q169" s="415"/>
      <c r="R169" s="434"/>
      <c r="S169" s="612"/>
      <c r="T169" s="436"/>
      <c r="U169" s="436"/>
      <c r="V169" s="612"/>
      <c r="W169" s="436"/>
      <c r="X169" s="436"/>
      <c r="Y169" s="612"/>
      <c r="Z169" s="436"/>
      <c r="AA169" s="436"/>
      <c r="AB169" s="612"/>
      <c r="AC169" s="436">
        <v>75</v>
      </c>
      <c r="AD169" s="436">
        <f>IF(AC169&lt;='B1b '!$L$41,'B1b '!$M$41,IF(AND(AC169&lt;='B1b '!$L$40,AC169&gt;'B1b '!$L$41),0+(('B1b '!$M$41-'B1b '!$M$40)/('B1b '!$L$41-'B1b '!$L$40))*(AC169-'B1b '!$L$40),0))</f>
        <v>82.718446601941736</v>
      </c>
      <c r="AE169" s="612"/>
      <c r="AF169" s="436"/>
      <c r="AG169" s="436"/>
      <c r="AH169" s="183"/>
    </row>
    <row r="170" spans="2:34">
      <c r="B170" s="182"/>
      <c r="C170" s="435">
        <v>76</v>
      </c>
      <c r="D170" s="435">
        <f>IF(C170&lt;='B1b '!$G$35,'B1b '!$H$35,IF(AND(C170&lt;='B1b '!$G$34,C170&gt;'B1b '!$G$35),0+(('B1b '!$H$35-'B1b '!$H$34)/('B1b '!$G$35-'B1b '!$G$34))*(C170-'B1b '!$G$34),0))</f>
        <v>0</v>
      </c>
      <c r="E170" s="415"/>
      <c r="F170" s="435"/>
      <c r="G170" s="435"/>
      <c r="H170" s="415"/>
      <c r="I170" s="435"/>
      <c r="J170" s="435"/>
      <c r="K170" s="415"/>
      <c r="L170" s="435">
        <v>76</v>
      </c>
      <c r="M170" s="435">
        <f>IF(L170&lt;='B1b '!$G$41,'B1b '!$H$41,IF(AND(L170&lt;='B1b '!$G$40,L170&gt;'B1b '!$G$41),0+(('B1b '!$H$41-'B1b '!$H$40)/('B1b '!$G$41-'B1b '!$G$40))*(L170-'B1b '!$G$40),0))</f>
        <v>62.608695652173914</v>
      </c>
      <c r="N170" s="415"/>
      <c r="O170" s="435"/>
      <c r="P170" s="435"/>
      <c r="Q170" s="415"/>
      <c r="R170" s="434"/>
      <c r="S170" s="612"/>
      <c r="T170" s="436"/>
      <c r="U170" s="436"/>
      <c r="V170" s="612"/>
      <c r="W170" s="436"/>
      <c r="X170" s="436"/>
      <c r="Y170" s="612"/>
      <c r="Z170" s="436"/>
      <c r="AA170" s="436"/>
      <c r="AB170" s="612"/>
      <c r="AC170" s="436">
        <v>76</v>
      </c>
      <c r="AD170" s="436">
        <f>IF(AC170&lt;='B1b '!$L$41,'B1b '!$M$41,IF(AND(AC170&lt;='B1b '!$L$40,AC170&gt;'B1b '!$L$41),0+(('B1b '!$M$41-'B1b '!$M$40)/('B1b '!$L$41-'B1b '!$L$40))*(AC170-'B1b '!$L$40),0))</f>
        <v>81.553398058252426</v>
      </c>
      <c r="AE170" s="612"/>
      <c r="AF170" s="436"/>
      <c r="AG170" s="436"/>
      <c r="AH170" s="183"/>
    </row>
    <row r="171" spans="2:34">
      <c r="B171" s="182"/>
      <c r="C171" s="435">
        <v>77</v>
      </c>
      <c r="D171" s="435">
        <f>IF(C171&lt;='B1b '!$G$35,'B1b '!$H$35,IF(AND(C171&lt;='B1b '!$G$34,C171&gt;'B1b '!$G$35),0+(('B1b '!$H$35-'B1b '!$H$34)/('B1b '!$G$35-'B1b '!$G$34))*(C171-'B1b '!$G$34),0))</f>
        <v>0</v>
      </c>
      <c r="E171" s="415"/>
      <c r="F171" s="435"/>
      <c r="G171" s="435"/>
      <c r="H171" s="415"/>
      <c r="I171" s="435"/>
      <c r="J171" s="435"/>
      <c r="K171" s="415"/>
      <c r="L171" s="435">
        <v>77</v>
      </c>
      <c r="M171" s="435">
        <f>IF(L171&lt;='B1b '!$G$41,'B1b '!$H$41,IF(AND(L171&lt;='B1b '!$G$40,L171&gt;'B1b '!$G$41),0+(('B1b '!$H$41-'B1b '!$H$40)/('B1b '!$G$41-'B1b '!$G$40))*(L171-'B1b '!$G$40),0))</f>
        <v>60.869565217391305</v>
      </c>
      <c r="N171" s="415"/>
      <c r="O171" s="435"/>
      <c r="P171" s="435"/>
      <c r="Q171" s="415"/>
      <c r="R171" s="434"/>
      <c r="S171" s="612"/>
      <c r="T171" s="436"/>
      <c r="U171" s="436"/>
      <c r="V171" s="612"/>
      <c r="W171" s="436"/>
      <c r="X171" s="436"/>
      <c r="Y171" s="612"/>
      <c r="Z171" s="436"/>
      <c r="AA171" s="436"/>
      <c r="AB171" s="612"/>
      <c r="AC171" s="436">
        <v>77</v>
      </c>
      <c r="AD171" s="436">
        <f>IF(AC171&lt;='B1b '!$L$41,'B1b '!$M$41,IF(AND(AC171&lt;='B1b '!$L$40,AC171&gt;'B1b '!$L$41),0+(('B1b '!$M$41-'B1b '!$M$40)/('B1b '!$L$41-'B1b '!$L$40))*(AC171-'B1b '!$L$40),0))</f>
        <v>80.388349514563103</v>
      </c>
      <c r="AE171" s="612"/>
      <c r="AF171" s="436"/>
      <c r="AG171" s="436"/>
      <c r="AH171" s="183"/>
    </row>
    <row r="172" spans="2:34">
      <c r="B172" s="182"/>
      <c r="C172" s="435"/>
      <c r="D172" s="435"/>
      <c r="E172" s="415"/>
      <c r="F172" s="435"/>
      <c r="G172" s="435"/>
      <c r="H172" s="415"/>
      <c r="I172" s="435"/>
      <c r="J172" s="435"/>
      <c r="K172" s="415"/>
      <c r="L172" s="435">
        <v>78</v>
      </c>
      <c r="M172" s="435">
        <f>IF(L172&lt;='B1b '!$G$41,'B1b '!$H$41,IF(AND(L172&lt;='B1b '!$G$40,L172&gt;'B1b '!$G$41),0+(('B1b '!$H$41-'B1b '!$H$40)/('B1b '!$G$41-'B1b '!$G$40))*(L172-'B1b '!$G$40),0))</f>
        <v>59.130434782608695</v>
      </c>
      <c r="N172" s="415"/>
      <c r="O172" s="435"/>
      <c r="P172" s="435"/>
      <c r="Q172" s="415"/>
      <c r="R172" s="434"/>
      <c r="S172" s="612"/>
      <c r="T172" s="436"/>
      <c r="U172" s="436"/>
      <c r="V172" s="612"/>
      <c r="W172" s="436"/>
      <c r="X172" s="436"/>
      <c r="Y172" s="612"/>
      <c r="Z172" s="436"/>
      <c r="AA172" s="436"/>
      <c r="AB172" s="612"/>
      <c r="AC172" s="436">
        <v>78</v>
      </c>
      <c r="AD172" s="436">
        <f>IF(AC172&lt;='B1b '!$L$41,'B1b '!$M$41,IF(AND(AC172&lt;='B1b '!$L$40,AC172&gt;'B1b '!$L$41),0+(('B1b '!$M$41-'B1b '!$M$40)/('B1b '!$L$41-'B1b '!$L$40))*(AC172-'B1b '!$L$40),0))</f>
        <v>79.22330097087378</v>
      </c>
      <c r="AE172" s="612"/>
      <c r="AF172" s="436"/>
      <c r="AG172" s="436"/>
      <c r="AH172" s="183"/>
    </row>
    <row r="173" spans="2:34">
      <c r="B173" s="182"/>
      <c r="C173" s="435"/>
      <c r="D173" s="435"/>
      <c r="E173" s="415"/>
      <c r="F173" s="435"/>
      <c r="G173" s="435"/>
      <c r="H173" s="415"/>
      <c r="I173" s="435"/>
      <c r="J173" s="435"/>
      <c r="K173" s="415"/>
      <c r="L173" s="435">
        <v>79</v>
      </c>
      <c r="M173" s="435">
        <f>IF(L173&lt;='B1b '!$G$41,'B1b '!$H$41,IF(AND(L173&lt;='B1b '!$G$40,L173&gt;'B1b '!$G$41),0+(('B1b '!$H$41-'B1b '!$H$40)/('B1b '!$G$41-'B1b '!$G$40))*(L173-'B1b '!$G$40),0))</f>
        <v>57.391304347826086</v>
      </c>
      <c r="N173" s="415"/>
      <c r="O173" s="435"/>
      <c r="P173" s="435"/>
      <c r="Q173" s="415"/>
      <c r="R173" s="434"/>
      <c r="S173" s="612"/>
      <c r="T173" s="436"/>
      <c r="U173" s="436"/>
      <c r="V173" s="612"/>
      <c r="W173" s="436"/>
      <c r="X173" s="436"/>
      <c r="Y173" s="612"/>
      <c r="Z173" s="436"/>
      <c r="AA173" s="436"/>
      <c r="AB173" s="612"/>
      <c r="AC173" s="436">
        <v>79</v>
      </c>
      <c r="AD173" s="436">
        <f>IF(AC173&lt;='B1b '!$L$41,'B1b '!$M$41,IF(AND(AC173&lt;='B1b '!$L$40,AC173&gt;'B1b '!$L$41),0+(('B1b '!$M$41-'B1b '!$M$40)/('B1b '!$L$41-'B1b '!$L$40))*(AC173-'B1b '!$L$40),0))</f>
        <v>78.058252427184456</v>
      </c>
      <c r="AE173" s="612"/>
      <c r="AF173" s="436"/>
      <c r="AG173" s="436"/>
      <c r="AH173" s="183"/>
    </row>
    <row r="174" spans="2:34">
      <c r="B174" s="182"/>
      <c r="C174" s="435"/>
      <c r="D174" s="435"/>
      <c r="E174" s="415"/>
      <c r="F174" s="435"/>
      <c r="G174" s="435"/>
      <c r="H174" s="415"/>
      <c r="I174" s="435"/>
      <c r="J174" s="435"/>
      <c r="K174" s="415"/>
      <c r="L174" s="435">
        <v>80</v>
      </c>
      <c r="M174" s="435">
        <f>IF(L174&lt;='B1b '!$G$41,'B1b '!$H$41,IF(AND(L174&lt;='B1b '!$G$40,L174&gt;'B1b '!$G$41),0+(('B1b '!$H$41-'B1b '!$H$40)/('B1b '!$G$41-'B1b '!$G$40))*(L174-'B1b '!$G$40),0))</f>
        <v>55.652173913043477</v>
      </c>
      <c r="N174" s="415"/>
      <c r="O174" s="435"/>
      <c r="P174" s="435"/>
      <c r="Q174" s="415"/>
      <c r="R174" s="434"/>
      <c r="S174" s="612"/>
      <c r="T174" s="436"/>
      <c r="U174" s="436"/>
      <c r="V174" s="612"/>
      <c r="W174" s="436"/>
      <c r="X174" s="436"/>
      <c r="Y174" s="612"/>
      <c r="Z174" s="436"/>
      <c r="AA174" s="436"/>
      <c r="AB174" s="612"/>
      <c r="AC174" s="436">
        <v>80</v>
      </c>
      <c r="AD174" s="436">
        <f>IF(AC174&lt;='B1b '!$L$41,'B1b '!$M$41,IF(AND(AC174&lt;='B1b '!$L$40,AC174&gt;'B1b '!$L$41),0+(('B1b '!$M$41-'B1b '!$M$40)/('B1b '!$L$41-'B1b '!$L$40))*(AC174-'B1b '!$L$40),0))</f>
        <v>76.893203883495147</v>
      </c>
      <c r="AE174" s="612"/>
      <c r="AF174" s="436"/>
      <c r="AG174" s="436"/>
      <c r="AH174" s="183"/>
    </row>
    <row r="175" spans="2:34">
      <c r="B175" s="182"/>
      <c r="C175" s="435"/>
      <c r="D175" s="435"/>
      <c r="E175" s="415"/>
      <c r="F175" s="435"/>
      <c r="G175" s="435"/>
      <c r="H175" s="415"/>
      <c r="I175" s="435"/>
      <c r="J175" s="435"/>
      <c r="K175" s="415"/>
      <c r="L175" s="435">
        <v>81</v>
      </c>
      <c r="M175" s="435">
        <f>IF(L175&lt;='B1b '!$G$41,'B1b '!$H$41,IF(AND(L175&lt;='B1b '!$G$40,L175&gt;'B1b '!$G$41),0+(('B1b '!$H$41-'B1b '!$H$40)/('B1b '!$G$41-'B1b '!$G$40))*(L175-'B1b '!$G$40),0))</f>
        <v>53.913043478260867</v>
      </c>
      <c r="N175" s="415"/>
      <c r="O175" s="435"/>
      <c r="P175" s="435"/>
      <c r="Q175" s="415"/>
      <c r="R175" s="434"/>
      <c r="S175" s="612"/>
      <c r="T175" s="436"/>
      <c r="U175" s="436"/>
      <c r="V175" s="612"/>
      <c r="W175" s="436"/>
      <c r="X175" s="436"/>
      <c r="Y175" s="612"/>
      <c r="Z175" s="436"/>
      <c r="AA175" s="436"/>
      <c r="AB175" s="612"/>
      <c r="AC175" s="436">
        <v>81</v>
      </c>
      <c r="AD175" s="436">
        <f>IF(AC175&lt;='B1b '!$L$41,'B1b '!$M$41,IF(AND(AC175&lt;='B1b '!$L$40,AC175&gt;'B1b '!$L$41),0+(('B1b '!$M$41-'B1b '!$M$40)/('B1b '!$L$41-'B1b '!$L$40))*(AC175-'B1b '!$L$40),0))</f>
        <v>75.728155339805824</v>
      </c>
      <c r="AE175" s="612"/>
      <c r="AF175" s="436"/>
      <c r="AG175" s="436"/>
      <c r="AH175" s="183"/>
    </row>
    <row r="176" spans="2:34">
      <c r="B176" s="182"/>
      <c r="C176" s="435"/>
      <c r="D176" s="435"/>
      <c r="E176" s="415"/>
      <c r="F176" s="435"/>
      <c r="G176" s="435"/>
      <c r="H176" s="415"/>
      <c r="I176" s="435"/>
      <c r="J176" s="435"/>
      <c r="K176" s="415"/>
      <c r="L176" s="435">
        <v>82</v>
      </c>
      <c r="M176" s="435">
        <f>IF(L176&lt;='B1b '!$G$41,'B1b '!$H$41,IF(AND(L176&lt;='B1b '!$G$40,L176&gt;'B1b '!$G$41),0+(('B1b '!$H$41-'B1b '!$H$40)/('B1b '!$G$41-'B1b '!$G$40))*(L176-'B1b '!$G$40),0))</f>
        <v>52.173913043478258</v>
      </c>
      <c r="N176" s="415"/>
      <c r="O176" s="435"/>
      <c r="P176" s="435"/>
      <c r="Q176" s="415"/>
      <c r="R176" s="434"/>
      <c r="S176" s="612"/>
      <c r="T176" s="436"/>
      <c r="U176" s="436"/>
      <c r="V176" s="612"/>
      <c r="W176" s="436"/>
      <c r="X176" s="436"/>
      <c r="Y176" s="612"/>
      <c r="Z176" s="436"/>
      <c r="AA176" s="436"/>
      <c r="AB176" s="612"/>
      <c r="AC176" s="436">
        <v>82</v>
      </c>
      <c r="AD176" s="436">
        <f>IF(AC176&lt;='B1b '!$L$41,'B1b '!$M$41,IF(AND(AC176&lt;='B1b '!$L$40,AC176&gt;'B1b '!$L$41),0+(('B1b '!$M$41-'B1b '!$M$40)/('B1b '!$L$41-'B1b '!$L$40))*(AC176-'B1b '!$L$40),0))</f>
        <v>74.5631067961165</v>
      </c>
      <c r="AE176" s="612"/>
      <c r="AF176" s="436"/>
      <c r="AG176" s="436"/>
      <c r="AH176" s="183"/>
    </row>
    <row r="177" spans="2:34">
      <c r="B177" s="182"/>
      <c r="C177" s="435"/>
      <c r="D177" s="435"/>
      <c r="E177" s="415"/>
      <c r="F177" s="435"/>
      <c r="G177" s="435"/>
      <c r="H177" s="415"/>
      <c r="I177" s="435"/>
      <c r="J177" s="435"/>
      <c r="K177" s="415"/>
      <c r="L177" s="435">
        <v>83</v>
      </c>
      <c r="M177" s="435">
        <f>IF(L177&lt;='B1b '!$G$41,'B1b '!$H$41,IF(AND(L177&lt;='B1b '!$G$40,L177&gt;'B1b '!$G$41),0+(('B1b '!$H$41-'B1b '!$H$40)/('B1b '!$G$41-'B1b '!$G$40))*(L177-'B1b '!$G$40),0))</f>
        <v>50.434782608695649</v>
      </c>
      <c r="N177" s="415"/>
      <c r="O177" s="435"/>
      <c r="P177" s="435"/>
      <c r="Q177" s="415"/>
      <c r="R177" s="434"/>
      <c r="S177" s="612"/>
      <c r="T177" s="436"/>
      <c r="U177" s="436"/>
      <c r="V177" s="612"/>
      <c r="W177" s="436"/>
      <c r="X177" s="436"/>
      <c r="Y177" s="612"/>
      <c r="Z177" s="436"/>
      <c r="AA177" s="436"/>
      <c r="AB177" s="612"/>
      <c r="AC177" s="436">
        <v>83</v>
      </c>
      <c r="AD177" s="436">
        <f>IF(AC177&lt;='B1b '!$L$41,'B1b '!$M$41,IF(AND(AC177&lt;='B1b '!$L$40,AC177&gt;'B1b '!$L$41),0+(('B1b '!$M$41-'B1b '!$M$40)/('B1b '!$L$41-'B1b '!$L$40))*(AC177-'B1b '!$L$40),0))</f>
        <v>73.398058252427177</v>
      </c>
      <c r="AE177" s="612"/>
      <c r="AF177" s="436"/>
      <c r="AG177" s="436"/>
      <c r="AH177" s="183"/>
    </row>
    <row r="178" spans="2:34">
      <c r="B178" s="182"/>
      <c r="C178" s="435"/>
      <c r="D178" s="435"/>
      <c r="E178" s="415"/>
      <c r="F178" s="435"/>
      <c r="G178" s="435"/>
      <c r="H178" s="415"/>
      <c r="I178" s="435"/>
      <c r="J178" s="435"/>
      <c r="K178" s="415"/>
      <c r="L178" s="435">
        <v>84</v>
      </c>
      <c r="M178" s="435">
        <f>IF(L178&lt;='B1b '!$G$41,'B1b '!$H$41,IF(AND(L178&lt;='B1b '!$G$40,L178&gt;'B1b '!$G$41),0+(('B1b '!$H$41-'B1b '!$H$40)/('B1b '!$G$41-'B1b '!$G$40))*(L178-'B1b '!$G$40),0))</f>
        <v>48.695652173913039</v>
      </c>
      <c r="N178" s="415"/>
      <c r="O178" s="435"/>
      <c r="P178" s="435"/>
      <c r="Q178" s="415"/>
      <c r="R178" s="434"/>
      <c r="S178" s="612"/>
      <c r="T178" s="436"/>
      <c r="U178" s="436"/>
      <c r="V178" s="612"/>
      <c r="W178" s="436"/>
      <c r="X178" s="436"/>
      <c r="Y178" s="612"/>
      <c r="Z178" s="436"/>
      <c r="AA178" s="436"/>
      <c r="AB178" s="612"/>
      <c r="AC178" s="436">
        <v>84</v>
      </c>
      <c r="AD178" s="436">
        <f>IF(AC178&lt;='B1b '!$L$41,'B1b '!$M$41,IF(AND(AC178&lt;='B1b '!$L$40,AC178&gt;'B1b '!$L$41),0+(('B1b '!$M$41-'B1b '!$M$40)/('B1b '!$L$41-'B1b '!$L$40))*(AC178-'B1b '!$L$40),0))</f>
        <v>72.233009708737853</v>
      </c>
      <c r="AE178" s="612"/>
      <c r="AF178" s="436"/>
      <c r="AG178" s="436"/>
      <c r="AH178" s="183"/>
    </row>
    <row r="179" spans="2:34">
      <c r="B179" s="182"/>
      <c r="C179" s="435"/>
      <c r="D179" s="435"/>
      <c r="E179" s="415"/>
      <c r="F179" s="435"/>
      <c r="G179" s="435"/>
      <c r="H179" s="415"/>
      <c r="I179" s="435"/>
      <c r="J179" s="435"/>
      <c r="K179" s="415"/>
      <c r="L179" s="435">
        <v>85</v>
      </c>
      <c r="M179" s="435">
        <f>IF(L179&lt;='B1b '!$G$41,'B1b '!$H$41,IF(AND(L179&lt;='B1b '!$G$40,L179&gt;'B1b '!$G$41),0+(('B1b '!$H$41-'B1b '!$H$40)/('B1b '!$G$41-'B1b '!$G$40))*(L179-'B1b '!$G$40),0))</f>
        <v>46.95652173913043</v>
      </c>
      <c r="N179" s="415"/>
      <c r="O179" s="435"/>
      <c r="P179" s="435"/>
      <c r="Q179" s="415"/>
      <c r="R179" s="434"/>
      <c r="S179" s="612"/>
      <c r="T179" s="436"/>
      <c r="U179" s="436"/>
      <c r="V179" s="612"/>
      <c r="W179" s="436"/>
      <c r="X179" s="436"/>
      <c r="Y179" s="612"/>
      <c r="Z179" s="436"/>
      <c r="AA179" s="436"/>
      <c r="AB179" s="612"/>
      <c r="AC179" s="436">
        <v>85</v>
      </c>
      <c r="AD179" s="436">
        <f>IF(AC179&lt;='B1b '!$L$41,'B1b '!$M$41,IF(AND(AC179&lt;='B1b '!$L$40,AC179&gt;'B1b '!$L$41),0+(('B1b '!$M$41-'B1b '!$M$40)/('B1b '!$L$41-'B1b '!$L$40))*(AC179-'B1b '!$L$40),0))</f>
        <v>71.067961165048544</v>
      </c>
      <c r="AE179" s="612"/>
      <c r="AF179" s="436"/>
      <c r="AG179" s="436"/>
      <c r="AH179" s="183"/>
    </row>
    <row r="180" spans="2:34">
      <c r="B180" s="182"/>
      <c r="C180" s="435"/>
      <c r="D180" s="435"/>
      <c r="E180" s="415"/>
      <c r="F180" s="435"/>
      <c r="G180" s="435"/>
      <c r="H180" s="415"/>
      <c r="I180" s="435"/>
      <c r="J180" s="435"/>
      <c r="K180" s="415"/>
      <c r="L180" s="435">
        <v>86</v>
      </c>
      <c r="M180" s="435">
        <f>IF(L180&lt;='B1b '!$G$41,'B1b '!$H$41,IF(AND(L180&lt;='B1b '!$G$40,L180&gt;'B1b '!$G$41),0+(('B1b '!$H$41-'B1b '!$H$40)/('B1b '!$G$41-'B1b '!$G$40))*(L180-'B1b '!$G$40),0))</f>
        <v>45.217391304347828</v>
      </c>
      <c r="N180" s="415"/>
      <c r="O180" s="435"/>
      <c r="P180" s="435"/>
      <c r="Q180" s="415"/>
      <c r="R180" s="434"/>
      <c r="S180" s="612"/>
      <c r="T180" s="436"/>
      <c r="U180" s="436"/>
      <c r="V180" s="612"/>
      <c r="W180" s="436"/>
      <c r="X180" s="436"/>
      <c r="Y180" s="612"/>
      <c r="Z180" s="436"/>
      <c r="AA180" s="436"/>
      <c r="AB180" s="612"/>
      <c r="AC180" s="436">
        <v>86</v>
      </c>
      <c r="AD180" s="436">
        <f>IF(AC180&lt;='B1b '!$L$41,'B1b '!$M$41,IF(AND(AC180&lt;='B1b '!$L$40,AC180&gt;'B1b '!$L$41),0+(('B1b '!$M$41-'B1b '!$M$40)/('B1b '!$L$41-'B1b '!$L$40))*(AC180-'B1b '!$L$40),0))</f>
        <v>69.902912621359221</v>
      </c>
      <c r="AE180" s="612"/>
      <c r="AF180" s="436"/>
      <c r="AG180" s="436"/>
      <c r="AH180" s="183"/>
    </row>
    <row r="181" spans="2:34">
      <c r="B181" s="182"/>
      <c r="C181" s="435"/>
      <c r="D181" s="435"/>
      <c r="E181" s="415"/>
      <c r="F181" s="435"/>
      <c r="G181" s="435"/>
      <c r="H181" s="415"/>
      <c r="I181" s="435"/>
      <c r="J181" s="435"/>
      <c r="K181" s="415"/>
      <c r="L181" s="435">
        <v>87</v>
      </c>
      <c r="M181" s="435">
        <f>IF(L181&lt;='B1b '!$G$41,'B1b '!$H$41,IF(AND(L181&lt;='B1b '!$G$40,L181&gt;'B1b '!$G$41),0+(('B1b '!$H$41-'B1b '!$H$40)/('B1b '!$G$41-'B1b '!$G$40))*(L181-'B1b '!$G$40),0))</f>
        <v>43.478260869565219</v>
      </c>
      <c r="N181" s="415"/>
      <c r="O181" s="435"/>
      <c r="P181" s="435"/>
      <c r="Q181" s="415"/>
      <c r="R181" s="434"/>
      <c r="S181" s="612"/>
      <c r="T181" s="436"/>
      <c r="U181" s="436"/>
      <c r="V181" s="612"/>
      <c r="W181" s="436"/>
      <c r="X181" s="436"/>
      <c r="Y181" s="612"/>
      <c r="Z181" s="436"/>
      <c r="AA181" s="436"/>
      <c r="AB181" s="612"/>
      <c r="AC181" s="436">
        <v>87</v>
      </c>
      <c r="AD181" s="436">
        <f>IF(AC181&lt;='B1b '!$L$41,'B1b '!$M$41,IF(AND(AC181&lt;='B1b '!$L$40,AC181&gt;'B1b '!$L$41),0+(('B1b '!$M$41-'B1b '!$M$40)/('B1b '!$L$41-'B1b '!$L$40))*(AC181-'B1b '!$L$40),0))</f>
        <v>68.737864077669897</v>
      </c>
      <c r="AE181" s="612"/>
      <c r="AF181" s="436"/>
      <c r="AG181" s="436"/>
      <c r="AH181" s="183"/>
    </row>
    <row r="182" spans="2:34">
      <c r="B182" s="182"/>
      <c r="C182" s="435"/>
      <c r="D182" s="435"/>
      <c r="E182" s="415"/>
      <c r="F182" s="435"/>
      <c r="G182" s="435"/>
      <c r="H182" s="415"/>
      <c r="I182" s="435"/>
      <c r="J182" s="435"/>
      <c r="K182" s="415"/>
      <c r="L182" s="435">
        <v>88</v>
      </c>
      <c r="M182" s="435">
        <f>IF(L182&lt;='B1b '!$G$41,'B1b '!$H$41,IF(AND(L182&lt;='B1b '!$G$40,L182&gt;'B1b '!$G$41),0+(('B1b '!$H$41-'B1b '!$H$40)/('B1b '!$G$41-'B1b '!$G$40))*(L182-'B1b '!$G$40),0))</f>
        <v>41.739130434782609</v>
      </c>
      <c r="N182" s="415"/>
      <c r="O182" s="435"/>
      <c r="P182" s="435"/>
      <c r="Q182" s="415"/>
      <c r="R182" s="434"/>
      <c r="S182" s="612"/>
      <c r="T182" s="436"/>
      <c r="U182" s="436"/>
      <c r="V182" s="612"/>
      <c r="W182" s="436"/>
      <c r="X182" s="436"/>
      <c r="Y182" s="612"/>
      <c r="Z182" s="436"/>
      <c r="AA182" s="436"/>
      <c r="AB182" s="612"/>
      <c r="AC182" s="436">
        <v>88</v>
      </c>
      <c r="AD182" s="436">
        <f>IF(AC182&lt;='B1b '!$L$41,'B1b '!$M$41,IF(AND(AC182&lt;='B1b '!$L$40,AC182&gt;'B1b '!$L$41),0+(('B1b '!$M$41-'B1b '!$M$40)/('B1b '!$L$41-'B1b '!$L$40))*(AC182-'B1b '!$L$40),0))</f>
        <v>67.572815533980574</v>
      </c>
      <c r="AE182" s="612"/>
      <c r="AF182" s="436"/>
      <c r="AG182" s="436"/>
      <c r="AH182" s="183"/>
    </row>
    <row r="183" spans="2:34">
      <c r="B183" s="182"/>
      <c r="C183" s="435"/>
      <c r="D183" s="435"/>
      <c r="E183" s="415"/>
      <c r="F183" s="435"/>
      <c r="G183" s="435"/>
      <c r="H183" s="415"/>
      <c r="I183" s="435"/>
      <c r="J183" s="435"/>
      <c r="K183" s="415"/>
      <c r="L183" s="435">
        <v>89</v>
      </c>
      <c r="M183" s="435">
        <f>IF(L183&lt;='B1b '!$G$41,'B1b '!$H$41,IF(AND(L183&lt;='B1b '!$G$40,L183&gt;'B1b '!$G$41),0+(('B1b '!$H$41-'B1b '!$H$40)/('B1b '!$G$41-'B1b '!$G$40))*(L183-'B1b '!$G$40),0))</f>
        <v>40</v>
      </c>
      <c r="N183" s="415"/>
      <c r="O183" s="435"/>
      <c r="P183" s="435"/>
      <c r="Q183" s="415"/>
      <c r="R183" s="434"/>
      <c r="S183" s="612"/>
      <c r="T183" s="436"/>
      <c r="U183" s="436"/>
      <c r="V183" s="612"/>
      <c r="W183" s="436"/>
      <c r="X183" s="436"/>
      <c r="Y183" s="612"/>
      <c r="Z183" s="436"/>
      <c r="AA183" s="436"/>
      <c r="AB183" s="612"/>
      <c r="AC183" s="436">
        <v>89</v>
      </c>
      <c r="AD183" s="436">
        <f>IF(AC183&lt;='B1b '!$L$41,'B1b '!$M$41,IF(AND(AC183&lt;='B1b '!$L$40,AC183&gt;'B1b '!$L$41),0+(('B1b '!$M$41-'B1b '!$M$40)/('B1b '!$L$41-'B1b '!$L$40))*(AC183-'B1b '!$L$40),0))</f>
        <v>66.407766990291265</v>
      </c>
      <c r="AE183" s="612"/>
      <c r="AF183" s="436"/>
      <c r="AG183" s="436"/>
      <c r="AH183" s="183"/>
    </row>
    <row r="184" spans="2:34">
      <c r="B184" s="182"/>
      <c r="C184" s="435"/>
      <c r="D184" s="435"/>
      <c r="E184" s="415"/>
      <c r="F184" s="435"/>
      <c r="G184" s="435"/>
      <c r="H184" s="415"/>
      <c r="I184" s="435"/>
      <c r="J184" s="435"/>
      <c r="K184" s="415"/>
      <c r="L184" s="435">
        <v>90</v>
      </c>
      <c r="M184" s="435">
        <f>IF(L184&lt;='B1b '!$G$41,'B1b '!$H$41,IF(AND(L184&lt;='B1b '!$G$40,L184&gt;'B1b '!$G$41),0+(('B1b '!$H$41-'B1b '!$H$40)/('B1b '!$G$41-'B1b '!$G$40))*(L184-'B1b '!$G$40),0))</f>
        <v>38.260869565217391</v>
      </c>
      <c r="N184" s="415"/>
      <c r="O184" s="435"/>
      <c r="P184" s="435"/>
      <c r="Q184" s="415"/>
      <c r="R184" s="434"/>
      <c r="S184" s="612"/>
      <c r="T184" s="436"/>
      <c r="U184" s="436"/>
      <c r="V184" s="612"/>
      <c r="W184" s="436"/>
      <c r="X184" s="436"/>
      <c r="Y184" s="612"/>
      <c r="Z184" s="436"/>
      <c r="AA184" s="436"/>
      <c r="AB184" s="612"/>
      <c r="AC184" s="436">
        <v>90</v>
      </c>
      <c r="AD184" s="436">
        <f>IF(AC184&lt;='B1b '!$L$41,'B1b '!$M$41,IF(AND(AC184&lt;='B1b '!$L$40,AC184&gt;'B1b '!$L$41),0+(('B1b '!$M$41-'B1b '!$M$40)/('B1b '!$L$41-'B1b '!$L$40))*(AC184-'B1b '!$L$40),0))</f>
        <v>65.242718446601941</v>
      </c>
      <c r="AE184" s="612"/>
      <c r="AF184" s="436"/>
      <c r="AG184" s="436"/>
      <c r="AH184" s="183"/>
    </row>
    <row r="185" spans="2:34">
      <c r="B185" s="182"/>
      <c r="C185" s="435"/>
      <c r="D185" s="435"/>
      <c r="E185" s="415"/>
      <c r="F185" s="435"/>
      <c r="G185" s="435"/>
      <c r="H185" s="415"/>
      <c r="I185" s="435"/>
      <c r="J185" s="435"/>
      <c r="K185" s="415"/>
      <c r="L185" s="435">
        <v>91</v>
      </c>
      <c r="M185" s="435">
        <f>IF(L185&lt;='B1b '!$G$41,'B1b '!$H$41,IF(AND(L185&lt;='B1b '!$G$40,L185&gt;'B1b '!$G$41),0+(('B1b '!$H$41-'B1b '!$H$40)/('B1b '!$G$41-'B1b '!$G$40))*(L185-'B1b '!$G$40),0))</f>
        <v>36.521739130434781</v>
      </c>
      <c r="N185" s="415"/>
      <c r="O185" s="435"/>
      <c r="P185" s="435"/>
      <c r="Q185" s="415"/>
      <c r="R185" s="434"/>
      <c r="S185" s="612"/>
      <c r="T185" s="436"/>
      <c r="U185" s="436"/>
      <c r="V185" s="612"/>
      <c r="W185" s="436"/>
      <c r="X185" s="436"/>
      <c r="Y185" s="612"/>
      <c r="Z185" s="436"/>
      <c r="AA185" s="436"/>
      <c r="AB185" s="612"/>
      <c r="AC185" s="436">
        <v>91</v>
      </c>
      <c r="AD185" s="436">
        <f>IF(AC185&lt;='B1b '!$L$41,'B1b '!$M$41,IF(AND(AC185&lt;='B1b '!$L$40,AC185&gt;'B1b '!$L$41),0+(('B1b '!$M$41-'B1b '!$M$40)/('B1b '!$L$41-'B1b '!$L$40))*(AC185-'B1b '!$L$40),0))</f>
        <v>64.077669902912618</v>
      </c>
      <c r="AE185" s="612"/>
      <c r="AF185" s="436"/>
      <c r="AG185" s="436"/>
      <c r="AH185" s="183"/>
    </row>
    <row r="186" spans="2:34">
      <c r="B186" s="182"/>
      <c r="C186" s="435"/>
      <c r="D186" s="435"/>
      <c r="E186" s="415"/>
      <c r="F186" s="435"/>
      <c r="G186" s="435"/>
      <c r="H186" s="415"/>
      <c r="I186" s="435"/>
      <c r="J186" s="435"/>
      <c r="K186" s="415"/>
      <c r="L186" s="435">
        <v>92</v>
      </c>
      <c r="M186" s="435">
        <f>IF(L186&lt;='B1b '!$G$41,'B1b '!$H$41,IF(AND(L186&lt;='B1b '!$G$40,L186&gt;'B1b '!$G$41),0+(('B1b '!$H$41-'B1b '!$H$40)/('B1b '!$G$41-'B1b '!$G$40))*(L186-'B1b '!$G$40),0))</f>
        <v>34.782608695652172</v>
      </c>
      <c r="N186" s="415"/>
      <c r="O186" s="435"/>
      <c r="P186" s="435"/>
      <c r="Q186" s="415"/>
      <c r="R186" s="434"/>
      <c r="S186" s="612"/>
      <c r="T186" s="436"/>
      <c r="U186" s="436"/>
      <c r="V186" s="612"/>
      <c r="W186" s="436"/>
      <c r="X186" s="436"/>
      <c r="Y186" s="612"/>
      <c r="Z186" s="436"/>
      <c r="AA186" s="436"/>
      <c r="AB186" s="612"/>
      <c r="AC186" s="436">
        <v>92</v>
      </c>
      <c r="AD186" s="436">
        <f>IF(AC186&lt;='B1b '!$L$41,'B1b '!$M$41,IF(AND(AC186&lt;='B1b '!$L$40,AC186&gt;'B1b '!$L$41),0+(('B1b '!$M$41-'B1b '!$M$40)/('B1b '!$L$41-'B1b '!$L$40))*(AC186-'B1b '!$L$40),0))</f>
        <v>62.912621359223294</v>
      </c>
      <c r="AE186" s="612"/>
      <c r="AF186" s="436"/>
      <c r="AG186" s="436"/>
      <c r="AH186" s="183"/>
    </row>
    <row r="187" spans="2:34">
      <c r="B187" s="182"/>
      <c r="C187" s="435"/>
      <c r="D187" s="435"/>
      <c r="E187" s="415"/>
      <c r="F187" s="435"/>
      <c r="G187" s="435"/>
      <c r="H187" s="415"/>
      <c r="I187" s="435"/>
      <c r="J187" s="435"/>
      <c r="K187" s="415"/>
      <c r="L187" s="435">
        <v>93</v>
      </c>
      <c r="M187" s="435">
        <f>IF(L187&lt;='B1b '!$G$41,'B1b '!$H$41,IF(AND(L187&lt;='B1b '!$G$40,L187&gt;'B1b '!$G$41),0+(('B1b '!$H$41-'B1b '!$H$40)/('B1b '!$G$41-'B1b '!$G$40))*(L187-'B1b '!$G$40),0))</f>
        <v>33.043478260869563</v>
      </c>
      <c r="N187" s="415"/>
      <c r="O187" s="435"/>
      <c r="P187" s="435"/>
      <c r="Q187" s="415"/>
      <c r="R187" s="434"/>
      <c r="S187" s="612"/>
      <c r="T187" s="436"/>
      <c r="U187" s="436"/>
      <c r="V187" s="612"/>
      <c r="W187" s="436"/>
      <c r="X187" s="436"/>
      <c r="Y187" s="612"/>
      <c r="Z187" s="436"/>
      <c r="AA187" s="436"/>
      <c r="AB187" s="612"/>
      <c r="AC187" s="436">
        <v>93</v>
      </c>
      <c r="AD187" s="436">
        <f>IF(AC187&lt;='B1b '!$L$41,'B1b '!$M$41,IF(AND(AC187&lt;='B1b '!$L$40,AC187&gt;'B1b '!$L$41),0+(('B1b '!$M$41-'B1b '!$M$40)/('B1b '!$L$41-'B1b '!$L$40))*(AC187-'B1b '!$L$40),0))</f>
        <v>61.747572815533978</v>
      </c>
      <c r="AE187" s="612"/>
      <c r="AF187" s="436"/>
      <c r="AG187" s="436"/>
      <c r="AH187" s="183"/>
    </row>
    <row r="188" spans="2:34">
      <c r="B188" s="182"/>
      <c r="C188" s="435"/>
      <c r="D188" s="435"/>
      <c r="E188" s="415"/>
      <c r="F188" s="435"/>
      <c r="G188" s="435"/>
      <c r="H188" s="415"/>
      <c r="I188" s="435"/>
      <c r="J188" s="435"/>
      <c r="K188" s="415"/>
      <c r="L188" s="435">
        <v>94</v>
      </c>
      <c r="M188" s="435">
        <f>IF(L188&lt;='B1b '!$G$41,'B1b '!$H$41,IF(AND(L188&lt;='B1b '!$G$40,L188&gt;'B1b '!$G$41),0+(('B1b '!$H$41-'B1b '!$H$40)/('B1b '!$G$41-'B1b '!$G$40))*(L188-'B1b '!$G$40),0))</f>
        <v>31.304347826086957</v>
      </c>
      <c r="N188" s="415"/>
      <c r="O188" s="435"/>
      <c r="P188" s="435"/>
      <c r="Q188" s="415"/>
      <c r="R188" s="434"/>
      <c r="S188" s="612"/>
      <c r="T188" s="436"/>
      <c r="U188" s="436"/>
      <c r="V188" s="612"/>
      <c r="W188" s="436"/>
      <c r="X188" s="436"/>
      <c r="Y188" s="612"/>
      <c r="Z188" s="436"/>
      <c r="AA188" s="436"/>
      <c r="AB188" s="612"/>
      <c r="AC188" s="436">
        <v>94</v>
      </c>
      <c r="AD188" s="436">
        <f>IF(AC188&lt;='B1b '!$L$41,'B1b '!$M$41,IF(AND(AC188&lt;='B1b '!$L$40,AC188&gt;'B1b '!$L$41),0+(('B1b '!$M$41-'B1b '!$M$40)/('B1b '!$L$41-'B1b '!$L$40))*(AC188-'B1b '!$L$40),0))</f>
        <v>60.582524271844655</v>
      </c>
      <c r="AE188" s="612"/>
      <c r="AF188" s="436"/>
      <c r="AG188" s="436"/>
      <c r="AH188" s="183"/>
    </row>
    <row r="189" spans="2:34">
      <c r="B189" s="182"/>
      <c r="C189" s="435"/>
      <c r="D189" s="435"/>
      <c r="E189" s="415"/>
      <c r="F189" s="435"/>
      <c r="G189" s="435"/>
      <c r="H189" s="415"/>
      <c r="I189" s="435"/>
      <c r="J189" s="435"/>
      <c r="K189" s="415"/>
      <c r="L189" s="435">
        <v>95</v>
      </c>
      <c r="M189" s="435">
        <f>IF(L189&lt;='B1b '!$G$41,'B1b '!$H$41,IF(AND(L189&lt;='B1b '!$G$40,L189&gt;'B1b '!$G$41),0+(('B1b '!$H$41-'B1b '!$H$40)/('B1b '!$G$41-'B1b '!$G$40))*(L189-'B1b '!$G$40),0))</f>
        <v>29.565217391304348</v>
      </c>
      <c r="N189" s="415"/>
      <c r="O189" s="435"/>
      <c r="P189" s="435"/>
      <c r="Q189" s="415"/>
      <c r="R189" s="434"/>
      <c r="S189" s="612"/>
      <c r="T189" s="436"/>
      <c r="U189" s="436"/>
      <c r="V189" s="612"/>
      <c r="W189" s="436"/>
      <c r="X189" s="436"/>
      <c r="Y189" s="612"/>
      <c r="Z189" s="436"/>
      <c r="AA189" s="436"/>
      <c r="AB189" s="612"/>
      <c r="AC189" s="436">
        <v>95</v>
      </c>
      <c r="AD189" s="436">
        <f>IF(AC189&lt;='B1b '!$L$41,'B1b '!$M$41,IF(AND(AC189&lt;='B1b '!$L$40,AC189&gt;'B1b '!$L$41),0+(('B1b '!$M$41-'B1b '!$M$40)/('B1b '!$L$41-'B1b '!$L$40))*(AC189-'B1b '!$L$40),0))</f>
        <v>59.417475728155338</v>
      </c>
      <c r="AE189" s="612"/>
      <c r="AF189" s="436"/>
      <c r="AG189" s="436"/>
      <c r="AH189" s="183"/>
    </row>
    <row r="190" spans="2:34">
      <c r="B190" s="182"/>
      <c r="C190" s="435"/>
      <c r="D190" s="435"/>
      <c r="E190" s="415"/>
      <c r="F190" s="435"/>
      <c r="G190" s="435"/>
      <c r="H190" s="415"/>
      <c r="I190" s="435"/>
      <c r="J190" s="435"/>
      <c r="K190" s="415"/>
      <c r="L190" s="435">
        <v>96</v>
      </c>
      <c r="M190" s="435">
        <f>IF(L190&lt;='B1b '!$G$41,'B1b '!$H$41,IF(AND(L190&lt;='B1b '!$G$40,L190&gt;'B1b '!$G$41),0+(('B1b '!$H$41-'B1b '!$H$40)/('B1b '!$G$41-'B1b '!$G$40))*(L190-'B1b '!$G$40),0))</f>
        <v>27.826086956521738</v>
      </c>
      <c r="N190" s="415"/>
      <c r="O190" s="435"/>
      <c r="P190" s="435"/>
      <c r="Q190" s="415"/>
      <c r="R190" s="434"/>
      <c r="S190" s="612"/>
      <c r="T190" s="436"/>
      <c r="U190" s="436"/>
      <c r="V190" s="612"/>
      <c r="W190" s="436"/>
      <c r="X190" s="436"/>
      <c r="Y190" s="612"/>
      <c r="Z190" s="436"/>
      <c r="AA190" s="436"/>
      <c r="AB190" s="612"/>
      <c r="AC190" s="436">
        <v>96</v>
      </c>
      <c r="AD190" s="436">
        <f>IF(AC190&lt;='B1b '!$L$41,'B1b '!$M$41,IF(AND(AC190&lt;='B1b '!$L$40,AC190&gt;'B1b '!$L$41),0+(('B1b '!$M$41-'B1b '!$M$40)/('B1b '!$L$41-'B1b '!$L$40))*(AC190-'B1b '!$L$40),0))</f>
        <v>58.252427184466015</v>
      </c>
      <c r="AE190" s="612"/>
      <c r="AF190" s="436"/>
      <c r="AG190" s="436"/>
      <c r="AH190" s="183"/>
    </row>
    <row r="191" spans="2:34">
      <c r="B191" s="182"/>
      <c r="C191" s="435"/>
      <c r="D191" s="435"/>
      <c r="E191" s="415"/>
      <c r="F191" s="435"/>
      <c r="G191" s="435"/>
      <c r="H191" s="415"/>
      <c r="I191" s="435"/>
      <c r="J191" s="435"/>
      <c r="K191" s="415"/>
      <c r="L191" s="435">
        <v>97</v>
      </c>
      <c r="M191" s="435">
        <f>IF(L191&lt;='B1b '!$G$41,'B1b '!$H$41,IF(AND(L191&lt;='B1b '!$G$40,L191&gt;'B1b '!$G$41),0+(('B1b '!$H$41-'B1b '!$H$40)/('B1b '!$G$41-'B1b '!$G$40))*(L191-'B1b '!$G$40),0))</f>
        <v>26.086956521739129</v>
      </c>
      <c r="N191" s="415"/>
      <c r="O191" s="435"/>
      <c r="P191" s="435"/>
      <c r="Q191" s="415"/>
      <c r="R191" s="434"/>
      <c r="S191" s="612"/>
      <c r="T191" s="436"/>
      <c r="U191" s="436"/>
      <c r="V191" s="612"/>
      <c r="W191" s="436"/>
      <c r="X191" s="436"/>
      <c r="Y191" s="612"/>
      <c r="Z191" s="436"/>
      <c r="AA191" s="436"/>
      <c r="AB191" s="612"/>
      <c r="AC191" s="436">
        <v>97</v>
      </c>
      <c r="AD191" s="436">
        <f>IF(AC191&lt;='B1b '!$L$41,'B1b '!$M$41,IF(AND(AC191&lt;='B1b '!$L$40,AC191&gt;'B1b '!$L$41),0+(('B1b '!$M$41-'B1b '!$M$40)/('B1b '!$L$41-'B1b '!$L$40))*(AC191-'B1b '!$L$40),0))</f>
        <v>57.087378640776699</v>
      </c>
      <c r="AE191" s="612"/>
      <c r="AF191" s="436"/>
      <c r="AG191" s="436"/>
      <c r="AH191" s="183"/>
    </row>
    <row r="192" spans="2:34">
      <c r="B192" s="182"/>
      <c r="C192" s="435"/>
      <c r="D192" s="435"/>
      <c r="E192" s="415"/>
      <c r="F192" s="435"/>
      <c r="G192" s="435"/>
      <c r="H192" s="415"/>
      <c r="I192" s="435"/>
      <c r="J192" s="435"/>
      <c r="K192" s="415"/>
      <c r="L192" s="435">
        <v>98</v>
      </c>
      <c r="M192" s="435">
        <f>IF(L192&lt;='B1b '!$G$41,'B1b '!$H$41,IF(AND(L192&lt;='B1b '!$G$40,L192&gt;'B1b '!$G$41),0+(('B1b '!$H$41-'B1b '!$H$40)/('B1b '!$G$41-'B1b '!$G$40))*(L192-'B1b '!$G$40),0))</f>
        <v>24.34782608695652</v>
      </c>
      <c r="N192" s="415"/>
      <c r="O192" s="435"/>
      <c r="P192" s="435"/>
      <c r="Q192" s="415"/>
      <c r="R192" s="434"/>
      <c r="S192" s="612"/>
      <c r="T192" s="436"/>
      <c r="U192" s="436"/>
      <c r="V192" s="612"/>
      <c r="W192" s="436"/>
      <c r="X192" s="436"/>
      <c r="Y192" s="612"/>
      <c r="Z192" s="436"/>
      <c r="AA192" s="436"/>
      <c r="AB192" s="612"/>
      <c r="AC192" s="436">
        <v>98</v>
      </c>
      <c r="AD192" s="436">
        <f>IF(AC192&lt;='B1b '!$L$41,'B1b '!$M$41,IF(AND(AC192&lt;='B1b '!$L$40,AC192&gt;'B1b '!$L$41),0+(('B1b '!$M$41-'B1b '!$M$40)/('B1b '!$L$41-'B1b '!$L$40))*(AC192-'B1b '!$L$40),0))</f>
        <v>55.922330097087375</v>
      </c>
      <c r="AE192" s="612"/>
      <c r="AF192" s="436"/>
      <c r="AG192" s="436"/>
      <c r="AH192" s="183"/>
    </row>
    <row r="193" spans="2:34">
      <c r="B193" s="182"/>
      <c r="C193" s="435"/>
      <c r="D193" s="435"/>
      <c r="E193" s="415"/>
      <c r="F193" s="435"/>
      <c r="G193" s="435"/>
      <c r="H193" s="415"/>
      <c r="I193" s="435"/>
      <c r="J193" s="435"/>
      <c r="K193" s="415"/>
      <c r="L193" s="435">
        <v>99</v>
      </c>
      <c r="M193" s="435">
        <f>IF(L193&lt;='B1b '!$G$41,'B1b '!$H$41,IF(AND(L193&lt;='B1b '!$G$40,L193&gt;'B1b '!$G$41),0+(('B1b '!$H$41-'B1b '!$H$40)/('B1b '!$G$41-'B1b '!$G$40))*(L193-'B1b '!$G$40),0))</f>
        <v>22.608695652173914</v>
      </c>
      <c r="N193" s="415"/>
      <c r="O193" s="435"/>
      <c r="P193" s="435"/>
      <c r="Q193" s="415"/>
      <c r="R193" s="434"/>
      <c r="S193" s="612"/>
      <c r="T193" s="436"/>
      <c r="U193" s="436"/>
      <c r="V193" s="612"/>
      <c r="W193" s="436"/>
      <c r="X193" s="436"/>
      <c r="Y193" s="612"/>
      <c r="Z193" s="436"/>
      <c r="AA193" s="436"/>
      <c r="AB193" s="612"/>
      <c r="AC193" s="436">
        <v>99</v>
      </c>
      <c r="AD193" s="436">
        <f>IF(AC193&lt;='B1b '!$L$41,'B1b '!$M$41,IF(AND(AC193&lt;='B1b '!$L$40,AC193&gt;'B1b '!$L$41),0+(('B1b '!$M$41-'B1b '!$M$40)/('B1b '!$L$41-'B1b '!$L$40))*(AC193-'B1b '!$L$40),0))</f>
        <v>54.757281553398052</v>
      </c>
      <c r="AE193" s="612"/>
      <c r="AF193" s="436"/>
      <c r="AG193" s="436"/>
      <c r="AH193" s="183"/>
    </row>
    <row r="194" spans="2:34">
      <c r="B194" s="182"/>
      <c r="C194" s="435"/>
      <c r="D194" s="435"/>
      <c r="E194" s="415"/>
      <c r="F194" s="435"/>
      <c r="G194" s="435"/>
      <c r="H194" s="415"/>
      <c r="I194" s="435"/>
      <c r="J194" s="435"/>
      <c r="K194" s="415"/>
      <c r="L194" s="435">
        <v>100</v>
      </c>
      <c r="M194" s="435">
        <f>IF(L194&lt;='B1b '!$G$41,'B1b '!$H$41,IF(AND(L194&lt;='B1b '!$G$40,L194&gt;'B1b '!$G$41),0+(('B1b '!$H$41-'B1b '!$H$40)/('B1b '!$G$41-'B1b '!$G$40))*(L194-'B1b '!$G$40),0))</f>
        <v>20.869565217391305</v>
      </c>
      <c r="N194" s="415"/>
      <c r="O194" s="435"/>
      <c r="P194" s="435"/>
      <c r="Q194" s="415"/>
      <c r="R194" s="434"/>
      <c r="S194" s="612"/>
      <c r="T194" s="436"/>
      <c r="U194" s="436"/>
      <c r="V194" s="612"/>
      <c r="W194" s="436"/>
      <c r="X194" s="436"/>
      <c r="Y194" s="612"/>
      <c r="Z194" s="436"/>
      <c r="AA194" s="436"/>
      <c r="AB194" s="612"/>
      <c r="AC194" s="436">
        <v>100</v>
      </c>
      <c r="AD194" s="436">
        <f>IF(AC194&lt;='B1b '!$L$41,'B1b '!$M$41,IF(AND(AC194&lt;='B1b '!$L$40,AC194&gt;'B1b '!$L$41),0+(('B1b '!$M$41-'B1b '!$M$40)/('B1b '!$L$41-'B1b '!$L$40))*(AC194-'B1b '!$L$40),0))</f>
        <v>53.592233009708735</v>
      </c>
      <c r="AE194" s="612"/>
      <c r="AF194" s="436"/>
      <c r="AG194" s="436"/>
      <c r="AH194" s="183"/>
    </row>
    <row r="195" spans="2:34">
      <c r="B195" s="182"/>
      <c r="C195" s="415"/>
      <c r="D195" s="415"/>
      <c r="E195" s="415"/>
      <c r="F195" s="415"/>
      <c r="G195" s="415"/>
      <c r="H195" s="415"/>
      <c r="I195" s="415"/>
      <c r="J195" s="415"/>
      <c r="K195" s="415"/>
      <c r="L195" s="435">
        <v>101</v>
      </c>
      <c r="M195" s="435">
        <f>IF(L195&lt;='B1b '!$G$41,'B1b '!$H$41,IF(AND(L195&lt;='B1b '!$G$40,L195&gt;'B1b '!$G$41),0+(('B1b '!$H$41-'B1b '!$H$40)/('B1b '!$G$41-'B1b '!$G$40))*(L195-'B1b '!$G$40),0))</f>
        <v>19.130434782608695</v>
      </c>
      <c r="N195" s="415"/>
      <c r="O195" s="415"/>
      <c r="P195" s="415"/>
      <c r="Q195" s="415"/>
      <c r="R195" s="434"/>
      <c r="S195" s="612"/>
      <c r="T195" s="612"/>
      <c r="U195" s="612"/>
      <c r="V195" s="612"/>
      <c r="W195" s="612"/>
      <c r="X195" s="612"/>
      <c r="Y195" s="612"/>
      <c r="Z195" s="612"/>
      <c r="AA195" s="612"/>
      <c r="AB195" s="612"/>
      <c r="AC195" s="615">
        <v>101</v>
      </c>
      <c r="AD195" s="436">
        <f>IF(AC195&lt;='B1b '!$L$41,'B1b '!$M$41,IF(AND(AC195&lt;='B1b '!$L$40,AC195&gt;'B1b '!$L$41),0+(('B1b '!$M$41-'B1b '!$M$40)/('B1b '!$L$41-'B1b '!$L$40))*(AC195-'B1b '!$L$40),0))</f>
        <v>52.427184466019412</v>
      </c>
      <c r="AE195" s="612"/>
      <c r="AF195" s="612"/>
      <c r="AG195" s="612"/>
      <c r="AH195" s="183"/>
    </row>
    <row r="196" spans="2:34">
      <c r="B196" s="182"/>
      <c r="C196" s="415"/>
      <c r="D196" s="415"/>
      <c r="E196" s="415"/>
      <c r="F196" s="415"/>
      <c r="G196" s="415"/>
      <c r="H196" s="415"/>
      <c r="I196" s="415"/>
      <c r="J196" s="415"/>
      <c r="K196" s="415"/>
      <c r="L196" s="435">
        <v>102</v>
      </c>
      <c r="M196" s="435">
        <f>IF(L196&lt;='B1b '!$G$41,'B1b '!$H$41,IF(AND(L196&lt;='B1b '!$G$40,L196&gt;'B1b '!$G$41),0+(('B1b '!$H$41-'B1b '!$H$40)/('B1b '!$G$41-'B1b '!$G$40))*(L196-'B1b '!$G$40),0))</f>
        <v>17.391304347826086</v>
      </c>
      <c r="N196" s="415"/>
      <c r="O196" s="415"/>
      <c r="P196" s="415"/>
      <c r="Q196" s="415"/>
      <c r="R196" s="434"/>
      <c r="S196" s="612"/>
      <c r="T196" s="612"/>
      <c r="U196" s="612"/>
      <c r="V196" s="612"/>
      <c r="W196" s="612"/>
      <c r="X196" s="612"/>
      <c r="Y196" s="612"/>
      <c r="Z196" s="612"/>
      <c r="AA196" s="612"/>
      <c r="AB196" s="612"/>
      <c r="AC196" s="615">
        <v>102</v>
      </c>
      <c r="AD196" s="436">
        <f>IF(AC196&lt;='B1b '!$L$41,'B1b '!$M$41,IF(AND(AC196&lt;='B1b '!$L$40,AC196&gt;'B1b '!$L$41),0+(('B1b '!$M$41-'B1b '!$M$40)/('B1b '!$L$41-'B1b '!$L$40))*(AC196-'B1b '!$L$40),0))</f>
        <v>51.262135922330096</v>
      </c>
      <c r="AE196" s="612"/>
      <c r="AF196" s="612"/>
      <c r="AG196" s="612"/>
      <c r="AH196" s="183"/>
    </row>
    <row r="197" spans="2:34">
      <c r="B197" s="182"/>
      <c r="C197" s="415"/>
      <c r="D197" s="415"/>
      <c r="E197" s="415"/>
      <c r="F197" s="415"/>
      <c r="G197" s="415"/>
      <c r="H197" s="415"/>
      <c r="I197" s="415"/>
      <c r="J197" s="415"/>
      <c r="K197" s="415"/>
      <c r="L197" s="435">
        <v>103</v>
      </c>
      <c r="M197" s="435">
        <f>IF(L197&lt;='B1b '!$G$41,'B1b '!$H$41,IF(AND(L197&lt;='B1b '!$G$40,L197&gt;'B1b '!$G$41),0+(('B1b '!$H$41-'B1b '!$H$40)/('B1b '!$G$41-'B1b '!$G$40))*(L197-'B1b '!$G$40),0))</f>
        <v>15.652173913043478</v>
      </c>
      <c r="N197" s="415"/>
      <c r="O197" s="415"/>
      <c r="P197" s="415"/>
      <c r="Q197" s="415"/>
      <c r="R197" s="434"/>
      <c r="S197" s="612"/>
      <c r="T197" s="612"/>
      <c r="U197" s="612"/>
      <c r="V197" s="612"/>
      <c r="W197" s="612"/>
      <c r="X197" s="612"/>
      <c r="Y197" s="612"/>
      <c r="Z197" s="612"/>
      <c r="AA197" s="612"/>
      <c r="AB197" s="612"/>
      <c r="AC197" s="615">
        <v>103</v>
      </c>
      <c r="AD197" s="436">
        <f>IF(AC197&lt;='B1b '!$L$41,'B1b '!$M$41,IF(AND(AC197&lt;='B1b '!$L$40,AC197&gt;'B1b '!$L$41),0+(('B1b '!$M$41-'B1b '!$M$40)/('B1b '!$L$41-'B1b '!$L$40))*(AC197-'B1b '!$L$40),0))</f>
        <v>50.097087378640772</v>
      </c>
      <c r="AE197" s="612"/>
      <c r="AF197" s="612"/>
      <c r="AG197" s="612"/>
      <c r="AH197" s="183"/>
    </row>
    <row r="198" spans="2:34">
      <c r="B198" s="182"/>
      <c r="C198" s="415"/>
      <c r="D198" s="415"/>
      <c r="E198" s="415"/>
      <c r="F198" s="415"/>
      <c r="G198" s="415"/>
      <c r="H198" s="415"/>
      <c r="I198" s="415"/>
      <c r="J198" s="415"/>
      <c r="K198" s="415"/>
      <c r="L198" s="616">
        <v>104</v>
      </c>
      <c r="M198" s="435">
        <f>IF(L198&lt;='B1b '!$G$41,'B1b '!$H$41,IF(AND(L198&lt;='B1b '!$G$40,L198&gt;'B1b '!$G$41),0+(('B1b '!$H$41-'B1b '!$H$40)/('B1b '!$G$41-'B1b '!$G$40))*(L198-'B1b '!$G$40),0))</f>
        <v>13.913043478260869</v>
      </c>
      <c r="N198" s="415"/>
      <c r="O198" s="415"/>
      <c r="P198" s="415"/>
      <c r="Q198" s="415"/>
      <c r="R198" s="434"/>
      <c r="S198" s="612"/>
      <c r="T198" s="612"/>
      <c r="U198" s="612"/>
      <c r="V198" s="612"/>
      <c r="W198" s="612"/>
      <c r="X198" s="612"/>
      <c r="Y198" s="612"/>
      <c r="Z198" s="612"/>
      <c r="AA198" s="612"/>
      <c r="AB198" s="612"/>
      <c r="AC198" s="615">
        <v>104</v>
      </c>
      <c r="AD198" s="436">
        <f>IF(AC198&lt;='B1b '!$L$41,'B1b '!$M$41,IF(AND(AC198&lt;='B1b '!$L$40,AC198&gt;'B1b '!$L$41),0+(('B1b '!$M$41-'B1b '!$M$40)/('B1b '!$L$41-'B1b '!$L$40))*(AC198-'B1b '!$L$40),0))</f>
        <v>48.932038834951456</v>
      </c>
      <c r="AE198" s="612"/>
      <c r="AF198" s="612"/>
      <c r="AG198" s="612"/>
      <c r="AH198" s="183"/>
    </row>
    <row r="199" spans="2:34">
      <c r="B199" s="182"/>
      <c r="C199" s="415"/>
      <c r="D199" s="415"/>
      <c r="E199" s="415"/>
      <c r="F199" s="415"/>
      <c r="G199" s="415"/>
      <c r="H199" s="415"/>
      <c r="I199" s="415"/>
      <c r="J199" s="415"/>
      <c r="K199" s="415"/>
      <c r="L199" s="616">
        <v>105</v>
      </c>
      <c r="M199" s="435">
        <f>IF(L199&lt;='B1b '!$G$41,'B1b '!$H$41,IF(AND(L199&lt;='B1b '!$G$40,L199&gt;'B1b '!$G$41),0+(('B1b '!$H$41-'B1b '!$H$40)/('B1b '!$G$41-'B1b '!$G$40))*(L199-'B1b '!$G$40),0))</f>
        <v>12.17391304347826</v>
      </c>
      <c r="N199" s="415"/>
      <c r="O199" s="415"/>
      <c r="P199" s="415"/>
      <c r="Q199" s="415"/>
      <c r="R199" s="434"/>
      <c r="S199" s="612"/>
      <c r="T199" s="612"/>
      <c r="U199" s="612"/>
      <c r="V199" s="612"/>
      <c r="W199" s="612"/>
      <c r="X199" s="612"/>
      <c r="Y199" s="612"/>
      <c r="Z199" s="612"/>
      <c r="AA199" s="612"/>
      <c r="AB199" s="612"/>
      <c r="AC199" s="615">
        <v>105</v>
      </c>
      <c r="AD199" s="436">
        <f>IF(AC199&lt;='B1b '!$L$41,'B1b '!$M$41,IF(AND(AC199&lt;='B1b '!$L$40,AC199&gt;'B1b '!$L$41),0+(('B1b '!$M$41-'B1b '!$M$40)/('B1b '!$L$41-'B1b '!$L$40))*(AC199-'B1b '!$L$40),0))</f>
        <v>47.766990291262132</v>
      </c>
      <c r="AE199" s="612"/>
      <c r="AF199" s="612"/>
      <c r="AG199" s="612"/>
      <c r="AH199" s="183"/>
    </row>
    <row r="200" spans="2:34">
      <c r="B200" s="182"/>
      <c r="C200" s="415"/>
      <c r="D200" s="415"/>
      <c r="E200" s="415"/>
      <c r="F200" s="415"/>
      <c r="G200" s="415"/>
      <c r="H200" s="415"/>
      <c r="I200" s="415"/>
      <c r="J200" s="415"/>
      <c r="K200" s="415"/>
      <c r="L200" s="616">
        <v>106</v>
      </c>
      <c r="M200" s="435">
        <f>IF(L200&lt;='B1b '!$G$41,'B1b '!$H$41,IF(AND(L200&lt;='B1b '!$G$40,L200&gt;'B1b '!$G$41),0+(('B1b '!$H$41-'B1b '!$H$40)/('B1b '!$G$41-'B1b '!$G$40))*(L200-'B1b '!$G$40),0))</f>
        <v>10.434782608695652</v>
      </c>
      <c r="N200" s="415"/>
      <c r="O200" s="415"/>
      <c r="P200" s="415"/>
      <c r="Q200" s="415"/>
      <c r="R200" s="434"/>
      <c r="S200" s="612"/>
      <c r="T200" s="612"/>
      <c r="U200" s="612"/>
      <c r="V200" s="612"/>
      <c r="W200" s="612"/>
      <c r="X200" s="612"/>
      <c r="Y200" s="612"/>
      <c r="Z200" s="612"/>
      <c r="AA200" s="612"/>
      <c r="AB200" s="612"/>
      <c r="AC200" s="615">
        <v>106</v>
      </c>
      <c r="AD200" s="436">
        <f>IF(AC200&lt;='B1b '!$L$41,'B1b '!$M$41,IF(AND(AC200&lt;='B1b '!$L$40,AC200&gt;'B1b '!$L$41),0+(('B1b '!$M$41-'B1b '!$M$40)/('B1b '!$L$41-'B1b '!$L$40))*(AC200-'B1b '!$L$40),0))</f>
        <v>46.601941747572809</v>
      </c>
      <c r="AE200" s="612"/>
      <c r="AF200" s="612"/>
      <c r="AG200" s="612"/>
      <c r="AH200" s="183"/>
    </row>
    <row r="201" spans="2:34">
      <c r="B201" s="182"/>
      <c r="C201" s="415"/>
      <c r="D201" s="415"/>
      <c r="E201" s="415"/>
      <c r="F201" s="415"/>
      <c r="G201" s="415"/>
      <c r="H201" s="415"/>
      <c r="I201" s="415"/>
      <c r="J201" s="415"/>
      <c r="K201" s="415"/>
      <c r="L201" s="616">
        <v>107</v>
      </c>
      <c r="M201" s="435">
        <f>IF(L201&lt;='B1b '!$G$41,'B1b '!$H$41,IF(AND(L201&lt;='B1b '!$G$40,L201&gt;'B1b '!$G$41),0+(('B1b '!$H$41-'B1b '!$H$40)/('B1b '!$G$41-'B1b '!$G$40))*(L201-'B1b '!$G$40),0))</f>
        <v>8.695652173913043</v>
      </c>
      <c r="N201" s="415"/>
      <c r="O201" s="415"/>
      <c r="P201" s="415"/>
      <c r="Q201" s="415"/>
      <c r="R201" s="434"/>
      <c r="S201" s="612"/>
      <c r="T201" s="612"/>
      <c r="U201" s="612"/>
      <c r="V201" s="612"/>
      <c r="W201" s="612"/>
      <c r="X201" s="612"/>
      <c r="Y201" s="612"/>
      <c r="Z201" s="612"/>
      <c r="AA201" s="612"/>
      <c r="AB201" s="612"/>
      <c r="AC201" s="615">
        <v>107</v>
      </c>
      <c r="AD201" s="436">
        <f>IF(AC201&lt;='B1b '!$L$41,'B1b '!$M$41,IF(AND(AC201&lt;='B1b '!$L$40,AC201&gt;'B1b '!$L$41),0+(('B1b '!$M$41-'B1b '!$M$40)/('B1b '!$L$41-'B1b '!$L$40))*(AC201-'B1b '!$L$40),0))</f>
        <v>45.436893203883493</v>
      </c>
      <c r="AE201" s="612"/>
      <c r="AF201" s="612"/>
      <c r="AG201" s="612"/>
      <c r="AH201" s="183"/>
    </row>
    <row r="202" spans="2:34">
      <c r="B202" s="182"/>
      <c r="C202" s="415"/>
      <c r="D202" s="415"/>
      <c r="E202" s="415"/>
      <c r="F202" s="415"/>
      <c r="G202" s="415"/>
      <c r="H202" s="415"/>
      <c r="I202" s="415"/>
      <c r="J202" s="415"/>
      <c r="K202" s="415"/>
      <c r="L202" s="616">
        <v>108</v>
      </c>
      <c r="M202" s="435">
        <f>IF(L202&lt;='B1b '!$G$41,'B1b '!$H$41,IF(AND(L202&lt;='B1b '!$G$40,L202&gt;'B1b '!$G$41),0+(('B1b '!$H$41-'B1b '!$H$40)/('B1b '!$G$41-'B1b '!$G$40))*(L202-'B1b '!$G$40),0))</f>
        <v>6.9565217391304346</v>
      </c>
      <c r="N202" s="415"/>
      <c r="O202" s="415"/>
      <c r="P202" s="415"/>
      <c r="Q202" s="415"/>
      <c r="R202" s="434"/>
      <c r="S202" s="612"/>
      <c r="T202" s="612"/>
      <c r="U202" s="612"/>
      <c r="V202" s="612"/>
      <c r="W202" s="612"/>
      <c r="X202" s="612"/>
      <c r="Y202" s="612"/>
      <c r="Z202" s="612"/>
      <c r="AA202" s="612"/>
      <c r="AB202" s="612"/>
      <c r="AC202" s="615">
        <v>108</v>
      </c>
      <c r="AD202" s="436">
        <f>IF(AC202&lt;='B1b '!$L$41,'B1b '!$M$41,IF(AND(AC202&lt;='B1b '!$L$40,AC202&gt;'B1b '!$L$41),0+(('B1b '!$M$41-'B1b '!$M$40)/('B1b '!$L$41-'B1b '!$L$40))*(AC202-'B1b '!$L$40),0))</f>
        <v>44.271844660194169</v>
      </c>
      <c r="AE202" s="612"/>
      <c r="AF202" s="612"/>
      <c r="AG202" s="612"/>
      <c r="AH202" s="183"/>
    </row>
    <row r="203" spans="2:34">
      <c r="B203" s="182"/>
      <c r="C203" s="415"/>
      <c r="D203" s="415"/>
      <c r="E203" s="415"/>
      <c r="F203" s="415"/>
      <c r="G203" s="415"/>
      <c r="H203" s="415"/>
      <c r="I203" s="415"/>
      <c r="J203" s="415"/>
      <c r="K203" s="415"/>
      <c r="L203" s="616">
        <v>109</v>
      </c>
      <c r="M203" s="435">
        <f>IF(L203&lt;='B1b '!$G$41,'B1b '!$H$41,IF(AND(L203&lt;='B1b '!$G$40,L203&gt;'B1b '!$G$41),0+(('B1b '!$H$41-'B1b '!$H$40)/('B1b '!$G$41-'B1b '!$G$40))*(L203-'B1b '!$G$40),0))</f>
        <v>5.2173913043478262</v>
      </c>
      <c r="N203" s="415"/>
      <c r="O203" s="415"/>
      <c r="P203" s="415"/>
      <c r="Q203" s="415"/>
      <c r="R203" s="434"/>
      <c r="S203" s="612"/>
      <c r="T203" s="612"/>
      <c r="U203" s="612"/>
      <c r="V203" s="612"/>
      <c r="W203" s="612"/>
      <c r="X203" s="612"/>
      <c r="Y203" s="612"/>
      <c r="Z203" s="612"/>
      <c r="AA203" s="612"/>
      <c r="AB203" s="612"/>
      <c r="AC203" s="615">
        <v>109</v>
      </c>
      <c r="AD203" s="436">
        <f>IF(AC203&lt;='B1b '!$L$41,'B1b '!$M$41,IF(AND(AC203&lt;='B1b '!$L$40,AC203&gt;'B1b '!$L$41),0+(('B1b '!$M$41-'B1b '!$M$40)/('B1b '!$L$41-'B1b '!$L$40))*(AC203-'B1b '!$L$40),0))</f>
        <v>43.106796116504853</v>
      </c>
      <c r="AE203" s="612"/>
      <c r="AF203" s="612"/>
      <c r="AG203" s="612"/>
      <c r="AH203" s="183"/>
    </row>
    <row r="204" spans="2:34">
      <c r="B204" s="182"/>
      <c r="C204" s="415"/>
      <c r="D204" s="415"/>
      <c r="E204" s="415"/>
      <c r="F204" s="415"/>
      <c r="G204" s="415"/>
      <c r="H204" s="415"/>
      <c r="I204" s="415"/>
      <c r="J204" s="415"/>
      <c r="K204" s="415"/>
      <c r="L204" s="616">
        <v>110</v>
      </c>
      <c r="M204" s="435">
        <f>IF(L204&lt;='B1b '!$G$41,'B1b '!$H$41,IF(AND(L204&lt;='B1b '!$G$40,L204&gt;'B1b '!$G$41),0+(('B1b '!$H$41-'B1b '!$H$40)/('B1b '!$G$41-'B1b '!$G$40))*(L204-'B1b '!$G$40),0))</f>
        <v>3.4782608695652173</v>
      </c>
      <c r="N204" s="415"/>
      <c r="O204" s="415"/>
      <c r="P204" s="415"/>
      <c r="Q204" s="415"/>
      <c r="R204" s="434"/>
      <c r="S204" s="612"/>
      <c r="T204" s="612"/>
      <c r="U204" s="612"/>
      <c r="V204" s="612"/>
      <c r="W204" s="612"/>
      <c r="X204" s="612"/>
      <c r="Y204" s="612"/>
      <c r="Z204" s="612"/>
      <c r="AA204" s="612"/>
      <c r="AB204" s="612"/>
      <c r="AC204" s="615">
        <v>110</v>
      </c>
      <c r="AD204" s="436">
        <f>IF(AC204&lt;='B1b '!$L$41,'B1b '!$M$41,IF(AND(AC204&lt;='B1b '!$L$40,AC204&gt;'B1b '!$L$41),0+(('B1b '!$M$41-'B1b '!$M$40)/('B1b '!$L$41-'B1b '!$L$40))*(AC204-'B1b '!$L$40),0))</f>
        <v>41.94174757281553</v>
      </c>
      <c r="AE204" s="612"/>
      <c r="AF204" s="612"/>
      <c r="AG204" s="612"/>
      <c r="AH204" s="183"/>
    </row>
    <row r="205" spans="2:34">
      <c r="B205" s="182"/>
      <c r="C205" s="415"/>
      <c r="D205" s="415"/>
      <c r="E205" s="415"/>
      <c r="F205" s="415"/>
      <c r="G205" s="415"/>
      <c r="H205" s="415"/>
      <c r="I205" s="415"/>
      <c r="J205" s="415"/>
      <c r="K205" s="415"/>
      <c r="L205" s="616">
        <v>111</v>
      </c>
      <c r="M205" s="435">
        <f>IF(L205&lt;='B1b '!$G$41,'B1b '!$H$41,IF(AND(L205&lt;='B1b '!$G$40,L205&gt;'B1b '!$G$41),0+(('B1b '!$H$41-'B1b '!$H$40)/('B1b '!$G$41-'B1b '!$G$40))*(L205-'B1b '!$G$40),0))</f>
        <v>1.7391304347826086</v>
      </c>
      <c r="N205" s="415"/>
      <c r="O205" s="415"/>
      <c r="P205" s="415"/>
      <c r="Q205" s="415"/>
      <c r="R205" s="434"/>
      <c r="S205" s="612"/>
      <c r="T205" s="612"/>
      <c r="U205" s="612"/>
      <c r="V205" s="612"/>
      <c r="W205" s="612"/>
      <c r="X205" s="612"/>
      <c r="Y205" s="612"/>
      <c r="Z205" s="612"/>
      <c r="AA205" s="612"/>
      <c r="AB205" s="612"/>
      <c r="AC205" s="615">
        <v>111</v>
      </c>
      <c r="AD205" s="436">
        <f>IF(AC205&lt;='B1b '!$L$41,'B1b '!$M$41,IF(AND(AC205&lt;='B1b '!$L$40,AC205&gt;'B1b '!$L$41),0+(('B1b '!$M$41-'B1b '!$M$40)/('B1b '!$L$41-'B1b '!$L$40))*(AC205-'B1b '!$L$40),0))</f>
        <v>40.776699029126213</v>
      </c>
      <c r="AE205" s="612"/>
      <c r="AF205" s="612"/>
      <c r="AG205" s="612"/>
      <c r="AH205" s="183"/>
    </row>
    <row r="206" spans="2:34">
      <c r="B206" s="182"/>
      <c r="C206" s="415"/>
      <c r="D206" s="415"/>
      <c r="E206" s="415"/>
      <c r="F206" s="415"/>
      <c r="G206" s="415"/>
      <c r="H206" s="415"/>
      <c r="I206" s="415"/>
      <c r="J206" s="415"/>
      <c r="K206" s="415"/>
      <c r="L206" s="616">
        <v>112</v>
      </c>
      <c r="M206" s="435">
        <f>IF(L206&lt;='B1b '!$G$41,'B1b '!$H$41,IF(AND(L206&lt;='B1b '!$G$40,L206&gt;'B1b '!$G$41),0+(('B1b '!$H$41-'B1b '!$H$40)/('B1b '!$G$41-'B1b '!$G$40))*(L206-'B1b '!$G$40),0))</f>
        <v>0</v>
      </c>
      <c r="N206" s="415"/>
      <c r="O206" s="415"/>
      <c r="P206" s="415"/>
      <c r="Q206" s="415"/>
      <c r="R206" s="434"/>
      <c r="S206" s="612"/>
      <c r="T206" s="612"/>
      <c r="U206" s="612"/>
      <c r="V206" s="612"/>
      <c r="W206" s="612"/>
      <c r="X206" s="612"/>
      <c r="Y206" s="612"/>
      <c r="Z206" s="612"/>
      <c r="AA206" s="612"/>
      <c r="AB206" s="612"/>
      <c r="AC206" s="615">
        <v>112</v>
      </c>
      <c r="AD206" s="436">
        <f>IF(AC206&lt;='B1b '!$L$41,'B1b '!$M$41,IF(AND(AC206&lt;='B1b '!$L$40,AC206&gt;'B1b '!$L$41),0+(('B1b '!$M$41-'B1b '!$M$40)/('B1b '!$L$41-'B1b '!$L$40))*(AC206-'B1b '!$L$40),0))</f>
        <v>39.61165048543689</v>
      </c>
      <c r="AE206" s="612"/>
      <c r="AF206" s="612"/>
      <c r="AG206" s="612"/>
      <c r="AH206" s="183"/>
    </row>
    <row r="207" spans="2:34">
      <c r="B207" s="182"/>
      <c r="C207" s="415"/>
      <c r="D207" s="415"/>
      <c r="E207" s="415"/>
      <c r="F207" s="415"/>
      <c r="G207" s="415"/>
      <c r="H207" s="415"/>
      <c r="I207" s="415"/>
      <c r="J207" s="415"/>
      <c r="K207" s="415"/>
      <c r="L207" s="616">
        <v>113</v>
      </c>
      <c r="M207" s="435">
        <f>IF(L207&lt;='B1b '!$G$41,'B1b '!$H$41,IF(AND(L207&lt;='B1b '!$G$40,L207&gt;'B1b '!$G$41),0+(('B1b '!$H$41-'B1b '!$H$40)/('B1b '!$G$41-'B1b '!$G$40))*(L207-'B1b '!$G$40),0))</f>
        <v>0</v>
      </c>
      <c r="N207" s="415"/>
      <c r="O207" s="415"/>
      <c r="P207" s="415"/>
      <c r="Q207" s="415"/>
      <c r="R207" s="434"/>
      <c r="S207" s="612"/>
      <c r="T207" s="612"/>
      <c r="U207" s="612"/>
      <c r="V207" s="612"/>
      <c r="W207" s="612"/>
      <c r="X207" s="612"/>
      <c r="Y207" s="612"/>
      <c r="Z207" s="612"/>
      <c r="AA207" s="612"/>
      <c r="AB207" s="612"/>
      <c r="AC207" s="615">
        <v>113</v>
      </c>
      <c r="AD207" s="436">
        <f>IF(AC207&lt;='B1b '!$L$41,'B1b '!$M$41,IF(AND(AC207&lt;='B1b '!$L$40,AC207&gt;'B1b '!$L$41),0+(('B1b '!$M$41-'B1b '!$M$40)/('B1b '!$L$41-'B1b '!$L$40))*(AC207-'B1b '!$L$40),0))</f>
        <v>38.446601941747574</v>
      </c>
      <c r="AE207" s="612"/>
      <c r="AF207" s="612"/>
      <c r="AG207" s="612"/>
      <c r="AH207" s="183"/>
    </row>
    <row r="208" spans="2:34">
      <c r="B208" s="182"/>
      <c r="C208" s="415"/>
      <c r="D208" s="415"/>
      <c r="E208" s="415"/>
      <c r="F208" s="415"/>
      <c r="G208" s="415"/>
      <c r="H208" s="415"/>
      <c r="I208" s="415"/>
      <c r="J208" s="415"/>
      <c r="K208" s="415"/>
      <c r="L208" s="616">
        <v>114</v>
      </c>
      <c r="M208" s="435">
        <f>IF(L208&lt;='B1b '!$G$41,'B1b '!$H$41,IF(AND(L208&lt;='B1b '!$G$40,L208&gt;'B1b '!$G$41),0+(('B1b '!$H$41-'B1b '!$H$40)/('B1b '!$G$41-'B1b '!$G$40))*(L208-'B1b '!$G$40),0))</f>
        <v>0</v>
      </c>
      <c r="N208" s="415"/>
      <c r="O208" s="415"/>
      <c r="P208" s="415"/>
      <c r="Q208" s="415"/>
      <c r="R208" s="434"/>
      <c r="S208" s="612"/>
      <c r="T208" s="612"/>
      <c r="U208" s="612"/>
      <c r="V208" s="612"/>
      <c r="W208" s="612"/>
      <c r="X208" s="612"/>
      <c r="Y208" s="612"/>
      <c r="Z208" s="612"/>
      <c r="AA208" s="612"/>
      <c r="AB208" s="612"/>
      <c r="AC208" s="615">
        <v>114</v>
      </c>
      <c r="AD208" s="436">
        <f>IF(AC208&lt;='B1b '!$L$41,'B1b '!$M$41,IF(AND(AC208&lt;='B1b '!$L$40,AC208&gt;'B1b '!$L$41),0+(('B1b '!$M$41-'B1b '!$M$40)/('B1b '!$L$41-'B1b '!$L$40))*(AC208-'B1b '!$L$40),0))</f>
        <v>37.28155339805825</v>
      </c>
      <c r="AE208" s="612"/>
      <c r="AF208" s="612"/>
      <c r="AG208" s="612"/>
      <c r="AH208" s="183"/>
    </row>
    <row r="209" spans="2:34">
      <c r="B209" s="182"/>
      <c r="C209" s="415"/>
      <c r="D209" s="415"/>
      <c r="E209" s="415"/>
      <c r="F209" s="415"/>
      <c r="G209" s="415"/>
      <c r="H209" s="415"/>
      <c r="I209" s="415"/>
      <c r="J209" s="415"/>
      <c r="K209" s="415"/>
      <c r="L209" s="616">
        <v>115</v>
      </c>
      <c r="M209" s="435">
        <f>IF(L209&lt;='B1b '!$G$41,'B1b '!$H$41,IF(AND(L209&lt;='B1b '!$G$40,L209&gt;'B1b '!$G$41),0+(('B1b '!$H$41-'B1b '!$H$40)/('B1b '!$G$41-'B1b '!$G$40))*(L209-'B1b '!$G$40),0))</f>
        <v>0</v>
      </c>
      <c r="N209" s="415"/>
      <c r="O209" s="415"/>
      <c r="P209" s="415"/>
      <c r="Q209" s="415"/>
      <c r="R209" s="434"/>
      <c r="S209" s="612"/>
      <c r="T209" s="612"/>
      <c r="U209" s="612"/>
      <c r="V209" s="612"/>
      <c r="W209" s="612"/>
      <c r="X209" s="612"/>
      <c r="Y209" s="612"/>
      <c r="Z209" s="612"/>
      <c r="AA209" s="612"/>
      <c r="AB209" s="612"/>
      <c r="AC209" s="615">
        <v>115</v>
      </c>
      <c r="AD209" s="436">
        <f>IF(AC209&lt;='B1b '!$L$41,'B1b '!$M$41,IF(AND(AC209&lt;='B1b '!$L$40,AC209&gt;'B1b '!$L$41),0+(('B1b '!$M$41-'B1b '!$M$40)/('B1b '!$L$41-'B1b '!$L$40))*(AC209-'B1b '!$L$40),0))</f>
        <v>36.116504854368927</v>
      </c>
      <c r="AE209" s="612"/>
      <c r="AF209" s="612"/>
      <c r="AG209" s="612"/>
      <c r="AH209" s="183"/>
    </row>
    <row r="210" spans="2:34">
      <c r="B210" s="182"/>
      <c r="C210" s="415"/>
      <c r="D210" s="415"/>
      <c r="E210" s="415"/>
      <c r="F210" s="415"/>
      <c r="G210" s="415"/>
      <c r="H210" s="415"/>
      <c r="I210" s="415"/>
      <c r="J210" s="415"/>
      <c r="K210" s="415"/>
      <c r="L210" s="616">
        <v>116</v>
      </c>
      <c r="M210" s="435">
        <f>IF(L210&lt;='B1b '!$G$41,'B1b '!$H$41,IF(AND(L210&lt;='B1b '!$G$40,L210&gt;'B1b '!$G$41),0+(('B1b '!$H$41-'B1b '!$H$40)/('B1b '!$G$41-'B1b '!$G$40))*(L210-'B1b '!$G$40),0))</f>
        <v>0</v>
      </c>
      <c r="N210" s="415"/>
      <c r="O210" s="415"/>
      <c r="P210" s="415"/>
      <c r="Q210" s="415"/>
      <c r="R210" s="434"/>
      <c r="S210" s="612"/>
      <c r="T210" s="612"/>
      <c r="U210" s="612"/>
      <c r="V210" s="612"/>
      <c r="W210" s="612"/>
      <c r="X210" s="612"/>
      <c r="Y210" s="612"/>
      <c r="Z210" s="612"/>
      <c r="AA210" s="612"/>
      <c r="AB210" s="612"/>
      <c r="AC210" s="615">
        <v>116</v>
      </c>
      <c r="AD210" s="436">
        <f>IF(AC210&lt;='B1b '!$L$41,'B1b '!$M$41,IF(AND(AC210&lt;='B1b '!$L$40,AC210&gt;'B1b '!$L$41),0+(('B1b '!$M$41-'B1b '!$M$40)/('B1b '!$L$41-'B1b '!$L$40))*(AC210-'B1b '!$L$40),0))</f>
        <v>34.95145631067961</v>
      </c>
      <c r="AE210" s="612"/>
      <c r="AF210" s="612"/>
      <c r="AG210" s="612"/>
      <c r="AH210" s="183"/>
    </row>
    <row r="211" spans="2:34">
      <c r="B211" s="182"/>
      <c r="C211" s="415"/>
      <c r="D211" s="415"/>
      <c r="E211" s="415"/>
      <c r="F211" s="415"/>
      <c r="G211" s="415"/>
      <c r="H211" s="415"/>
      <c r="I211" s="415"/>
      <c r="J211" s="415"/>
      <c r="K211" s="415"/>
      <c r="L211" s="616">
        <v>117</v>
      </c>
      <c r="M211" s="435">
        <f>IF(L211&lt;='B1b '!$G$41,'B1b '!$H$41,IF(AND(L211&lt;='B1b '!$G$40,L211&gt;'B1b '!$G$41),0+(('B1b '!$H$41-'B1b '!$H$40)/('B1b '!$G$41-'B1b '!$G$40))*(L211-'B1b '!$G$40),0))</f>
        <v>0</v>
      </c>
      <c r="N211" s="415"/>
      <c r="O211" s="415"/>
      <c r="P211" s="415"/>
      <c r="Q211" s="415"/>
      <c r="R211" s="434"/>
      <c r="S211" s="612"/>
      <c r="T211" s="612"/>
      <c r="U211" s="612"/>
      <c r="V211" s="612"/>
      <c r="W211" s="612"/>
      <c r="X211" s="612"/>
      <c r="Y211" s="612"/>
      <c r="Z211" s="612"/>
      <c r="AA211" s="612"/>
      <c r="AB211" s="612"/>
      <c r="AC211" s="615">
        <v>117</v>
      </c>
      <c r="AD211" s="436">
        <f>IF(AC211&lt;='B1b '!$L$41,'B1b '!$M$41,IF(AND(AC211&lt;='B1b '!$L$40,AC211&gt;'B1b '!$L$41),0+(('B1b '!$M$41-'B1b '!$M$40)/('B1b '!$L$41-'B1b '!$L$40))*(AC211-'B1b '!$L$40),0))</f>
        <v>33.786407766990287</v>
      </c>
      <c r="AE211" s="612"/>
      <c r="AF211" s="612"/>
      <c r="AG211" s="612"/>
      <c r="AH211" s="183"/>
    </row>
    <row r="212" spans="2:34">
      <c r="B212" s="182"/>
      <c r="C212" s="415"/>
      <c r="D212" s="415"/>
      <c r="E212" s="415"/>
      <c r="F212" s="415"/>
      <c r="G212" s="415"/>
      <c r="H212" s="415"/>
      <c r="I212" s="415"/>
      <c r="J212" s="415"/>
      <c r="K212" s="415"/>
      <c r="L212" s="616">
        <v>118</v>
      </c>
      <c r="M212" s="435">
        <f>IF(L212&lt;='B1b '!$G$41,'B1b '!$H$41,IF(AND(L212&lt;='B1b '!$G$40,L212&gt;'B1b '!$G$41),0+(('B1b '!$H$41-'B1b '!$H$40)/('B1b '!$G$41-'B1b '!$G$40))*(L212-'B1b '!$G$40),0))</f>
        <v>0</v>
      </c>
      <c r="N212" s="415"/>
      <c r="O212" s="415"/>
      <c r="P212" s="415"/>
      <c r="Q212" s="415"/>
      <c r="R212" s="434"/>
      <c r="S212" s="612"/>
      <c r="T212" s="612"/>
      <c r="U212" s="612"/>
      <c r="V212" s="612"/>
      <c r="W212" s="612"/>
      <c r="X212" s="612"/>
      <c r="Y212" s="612"/>
      <c r="Z212" s="612"/>
      <c r="AA212" s="612"/>
      <c r="AB212" s="612"/>
      <c r="AC212" s="615">
        <v>118</v>
      </c>
      <c r="AD212" s="436">
        <f>IF(AC212&lt;='B1b '!$L$41,'B1b '!$M$41,IF(AND(AC212&lt;='B1b '!$L$40,AC212&gt;'B1b '!$L$41),0+(('B1b '!$M$41-'B1b '!$M$40)/('B1b '!$L$41-'B1b '!$L$40))*(AC212-'B1b '!$L$40),0))</f>
        <v>32.621359223300971</v>
      </c>
      <c r="AE212" s="612"/>
      <c r="AF212" s="612"/>
      <c r="AG212" s="612"/>
      <c r="AH212" s="183"/>
    </row>
    <row r="213" spans="2:34">
      <c r="B213" s="182"/>
      <c r="C213" s="415"/>
      <c r="D213" s="415"/>
      <c r="E213" s="415"/>
      <c r="F213" s="415"/>
      <c r="G213" s="415"/>
      <c r="H213" s="415"/>
      <c r="I213" s="415"/>
      <c r="J213" s="415"/>
      <c r="K213" s="415"/>
      <c r="L213" s="616">
        <v>119</v>
      </c>
      <c r="M213" s="435">
        <f>IF(L213&lt;='B1b '!$G$41,'B1b '!$H$41,IF(AND(L213&lt;='B1b '!$G$40,L213&gt;'B1b '!$G$41),0+(('B1b '!$H$41-'B1b '!$H$40)/('B1b '!$G$41-'B1b '!$G$40))*(L213-'B1b '!$G$40),0))</f>
        <v>0</v>
      </c>
      <c r="N213" s="415"/>
      <c r="O213" s="415"/>
      <c r="P213" s="415"/>
      <c r="Q213" s="415"/>
      <c r="R213" s="434"/>
      <c r="S213" s="612"/>
      <c r="T213" s="612"/>
      <c r="U213" s="612"/>
      <c r="V213" s="612"/>
      <c r="W213" s="612"/>
      <c r="X213" s="612"/>
      <c r="Y213" s="612"/>
      <c r="Z213" s="612"/>
      <c r="AA213" s="612"/>
      <c r="AB213" s="612"/>
      <c r="AC213" s="615">
        <v>119</v>
      </c>
      <c r="AD213" s="436">
        <f>IF(AC213&lt;='B1b '!$L$41,'B1b '!$M$41,IF(AND(AC213&lt;='B1b '!$L$40,AC213&gt;'B1b '!$L$41),0+(('B1b '!$M$41-'B1b '!$M$40)/('B1b '!$L$41-'B1b '!$L$40))*(AC213-'B1b '!$L$40),0))</f>
        <v>31.456310679611647</v>
      </c>
      <c r="AE213" s="612"/>
      <c r="AF213" s="612"/>
      <c r="AG213" s="612"/>
      <c r="AH213" s="183"/>
    </row>
    <row r="214" spans="2:34">
      <c r="B214" s="182"/>
      <c r="C214" s="415"/>
      <c r="D214" s="415"/>
      <c r="E214" s="415"/>
      <c r="F214" s="415"/>
      <c r="G214" s="415"/>
      <c r="H214" s="415"/>
      <c r="I214" s="415"/>
      <c r="J214" s="415"/>
      <c r="K214" s="415"/>
      <c r="L214" s="616">
        <v>120</v>
      </c>
      <c r="M214" s="435">
        <f>IF(L214&lt;='B1b '!$G$41,'B1b '!$H$41,IF(AND(L214&lt;='B1b '!$G$40,L214&gt;'B1b '!$G$41),0+(('B1b '!$H$41-'B1b '!$H$40)/('B1b '!$G$41-'B1b '!$G$40))*(L214-'B1b '!$G$40),0))</f>
        <v>0</v>
      </c>
      <c r="N214" s="415"/>
      <c r="O214" s="415"/>
      <c r="P214" s="415"/>
      <c r="Q214" s="415"/>
      <c r="R214" s="434"/>
      <c r="S214" s="612"/>
      <c r="T214" s="612"/>
      <c r="U214" s="612"/>
      <c r="V214" s="612"/>
      <c r="W214" s="612"/>
      <c r="X214" s="612"/>
      <c r="Y214" s="612"/>
      <c r="Z214" s="612"/>
      <c r="AA214" s="612"/>
      <c r="AB214" s="612"/>
      <c r="AC214" s="615">
        <v>120</v>
      </c>
      <c r="AD214" s="436">
        <f>IF(AC214&lt;='B1b '!$L$41,'B1b '!$M$41,IF(AND(AC214&lt;='B1b '!$L$40,AC214&gt;'B1b '!$L$41),0+(('B1b '!$M$41-'B1b '!$M$40)/('B1b '!$L$41-'B1b '!$L$40))*(AC214-'B1b '!$L$40),0))</f>
        <v>30.291262135922327</v>
      </c>
      <c r="AE214" s="612"/>
      <c r="AF214" s="612"/>
      <c r="AG214" s="612"/>
      <c r="AH214" s="183"/>
    </row>
    <row r="215" spans="2:34">
      <c r="B215" s="182"/>
      <c r="C215" s="415"/>
      <c r="D215" s="415"/>
      <c r="E215" s="415"/>
      <c r="F215" s="415"/>
      <c r="G215" s="415"/>
      <c r="H215" s="415"/>
      <c r="I215" s="415"/>
      <c r="J215" s="415"/>
      <c r="K215" s="415"/>
      <c r="L215" s="616">
        <v>121</v>
      </c>
      <c r="M215" s="435">
        <f>IF(L215&lt;='B1b '!$G$41,'B1b '!$H$41,IF(AND(L215&lt;='B1b '!$G$40,L215&gt;'B1b '!$G$41),0+(('B1b '!$H$41-'B1b '!$H$40)/('B1b '!$G$41-'B1b '!$G$40))*(L215-'B1b '!$G$40),0))</f>
        <v>0</v>
      </c>
      <c r="N215" s="415"/>
      <c r="O215" s="415"/>
      <c r="P215" s="415"/>
      <c r="Q215" s="415"/>
      <c r="R215" s="434"/>
      <c r="S215" s="612"/>
      <c r="T215" s="612"/>
      <c r="U215" s="612"/>
      <c r="V215" s="612"/>
      <c r="W215" s="612"/>
      <c r="X215" s="612"/>
      <c r="Y215" s="612"/>
      <c r="Z215" s="612"/>
      <c r="AA215" s="612"/>
      <c r="AB215" s="612"/>
      <c r="AC215" s="615">
        <v>121</v>
      </c>
      <c r="AD215" s="436">
        <f>IF(AC215&lt;='B1b '!$L$41,'B1b '!$M$41,IF(AND(AC215&lt;='B1b '!$L$40,AC215&gt;'B1b '!$L$41),0+(('B1b '!$M$41-'B1b '!$M$40)/('B1b '!$L$41-'B1b '!$L$40))*(AC215-'B1b '!$L$40),0))</f>
        <v>29.126213592233007</v>
      </c>
      <c r="AE215" s="612"/>
      <c r="AF215" s="612"/>
      <c r="AG215" s="612"/>
      <c r="AH215" s="183"/>
    </row>
    <row r="216" spans="2:34">
      <c r="B216" s="182"/>
      <c r="C216" s="415"/>
      <c r="D216" s="415"/>
      <c r="E216" s="415"/>
      <c r="F216" s="415"/>
      <c r="G216" s="415"/>
      <c r="H216" s="415"/>
      <c r="I216" s="415"/>
      <c r="J216" s="415"/>
      <c r="K216" s="415"/>
      <c r="L216" s="616">
        <v>122</v>
      </c>
      <c r="M216" s="435">
        <f>IF(L216&lt;='B1b '!$G$41,'B1b '!$H$41,IF(AND(L216&lt;='B1b '!$G$40,L216&gt;'B1b '!$G$41),0+(('B1b '!$H$41-'B1b '!$H$40)/('B1b '!$G$41-'B1b '!$G$40))*(L216-'B1b '!$G$40),0))</f>
        <v>0</v>
      </c>
      <c r="N216" s="415"/>
      <c r="O216" s="415"/>
      <c r="P216" s="415"/>
      <c r="Q216" s="415"/>
      <c r="R216" s="434"/>
      <c r="S216" s="612"/>
      <c r="T216" s="612"/>
      <c r="U216" s="612"/>
      <c r="V216" s="612"/>
      <c r="W216" s="612"/>
      <c r="X216" s="612"/>
      <c r="Y216" s="612"/>
      <c r="Z216" s="612"/>
      <c r="AA216" s="612"/>
      <c r="AB216" s="612"/>
      <c r="AC216" s="615">
        <v>122</v>
      </c>
      <c r="AD216" s="436">
        <f>IF(AC216&lt;='B1b '!$L$41,'B1b '!$M$41,IF(AND(AC216&lt;='B1b '!$L$40,AC216&gt;'B1b '!$L$41),0+(('B1b '!$M$41-'B1b '!$M$40)/('B1b '!$L$41-'B1b '!$L$40))*(AC216-'B1b '!$L$40),0))</f>
        <v>27.961165048543688</v>
      </c>
      <c r="AE216" s="612"/>
      <c r="AF216" s="612"/>
      <c r="AG216" s="612"/>
      <c r="AH216" s="183"/>
    </row>
    <row r="217" spans="2:34">
      <c r="B217" s="182"/>
      <c r="C217" s="415"/>
      <c r="D217" s="415"/>
      <c r="E217" s="415"/>
      <c r="F217" s="415"/>
      <c r="G217" s="415"/>
      <c r="H217" s="415"/>
      <c r="I217" s="415"/>
      <c r="J217" s="415"/>
      <c r="K217" s="415"/>
      <c r="L217" s="616">
        <v>123</v>
      </c>
      <c r="M217" s="435">
        <f>IF(L217&lt;='B1b '!$G$41,'B1b '!$H$41,IF(AND(L217&lt;='B1b '!$G$40,L217&gt;'B1b '!$G$41),0+(('B1b '!$H$41-'B1b '!$H$40)/('B1b '!$G$41-'B1b '!$G$40))*(L217-'B1b '!$G$40),0))</f>
        <v>0</v>
      </c>
      <c r="N217" s="415"/>
      <c r="O217" s="415"/>
      <c r="P217" s="415"/>
      <c r="Q217" s="415"/>
      <c r="R217" s="434"/>
      <c r="S217" s="612"/>
      <c r="T217" s="612"/>
      <c r="U217" s="612"/>
      <c r="V217" s="612"/>
      <c r="W217" s="612"/>
      <c r="X217" s="612"/>
      <c r="Y217" s="612"/>
      <c r="Z217" s="612"/>
      <c r="AA217" s="612"/>
      <c r="AB217" s="612"/>
      <c r="AC217" s="615">
        <v>123</v>
      </c>
      <c r="AD217" s="436">
        <f>IF(AC217&lt;='B1b '!$L$41,'B1b '!$M$41,IF(AND(AC217&lt;='B1b '!$L$40,AC217&gt;'B1b '!$L$41),0+(('B1b '!$M$41-'B1b '!$M$40)/('B1b '!$L$41-'B1b '!$L$40))*(AC217-'B1b '!$L$40),0))</f>
        <v>26.796116504854368</v>
      </c>
      <c r="AE217" s="612"/>
      <c r="AF217" s="612"/>
      <c r="AG217" s="612"/>
      <c r="AH217" s="183"/>
    </row>
    <row r="218" spans="2:34">
      <c r="B218" s="182"/>
      <c r="C218" s="415"/>
      <c r="D218" s="415"/>
      <c r="E218" s="415"/>
      <c r="F218" s="415"/>
      <c r="G218" s="415"/>
      <c r="H218" s="415"/>
      <c r="I218" s="415"/>
      <c r="J218" s="415"/>
      <c r="K218" s="415"/>
      <c r="L218" s="616">
        <v>124</v>
      </c>
      <c r="M218" s="435">
        <f>IF(L218&lt;='B1b '!$G$41,'B1b '!$H$41,IF(AND(L218&lt;='B1b '!$G$40,L218&gt;'B1b '!$G$41),0+(('B1b '!$H$41-'B1b '!$H$40)/('B1b '!$G$41-'B1b '!$G$40))*(L218-'B1b '!$G$40),0))</f>
        <v>0</v>
      </c>
      <c r="N218" s="415"/>
      <c r="O218" s="415"/>
      <c r="P218" s="415"/>
      <c r="Q218" s="415"/>
      <c r="R218" s="434"/>
      <c r="S218" s="612"/>
      <c r="T218" s="612"/>
      <c r="U218" s="612"/>
      <c r="V218" s="612"/>
      <c r="W218" s="612"/>
      <c r="X218" s="612"/>
      <c r="Y218" s="612"/>
      <c r="Z218" s="612"/>
      <c r="AA218" s="612"/>
      <c r="AB218" s="612"/>
      <c r="AC218" s="615">
        <v>124</v>
      </c>
      <c r="AD218" s="436">
        <f>IF(AC218&lt;='B1b '!$L$41,'B1b '!$M$41,IF(AND(AC218&lt;='B1b '!$L$40,AC218&gt;'B1b '!$L$41),0+(('B1b '!$M$41-'B1b '!$M$40)/('B1b '!$L$41-'B1b '!$L$40))*(AC218-'B1b '!$L$40),0))</f>
        <v>25.631067961165048</v>
      </c>
      <c r="AE218" s="612"/>
      <c r="AF218" s="612"/>
      <c r="AG218" s="612"/>
      <c r="AH218" s="183"/>
    </row>
    <row r="219" spans="2:34">
      <c r="B219" s="182"/>
      <c r="C219" s="415"/>
      <c r="D219" s="415"/>
      <c r="E219" s="415"/>
      <c r="F219" s="415"/>
      <c r="G219" s="415"/>
      <c r="H219" s="415"/>
      <c r="I219" s="415"/>
      <c r="J219" s="415"/>
      <c r="K219" s="415"/>
      <c r="L219" s="616">
        <v>125</v>
      </c>
      <c r="M219" s="435">
        <f>IF(L219&lt;='B1b '!$G$41,'B1b '!$H$41,IF(AND(L219&lt;='B1b '!$G$40,L219&gt;'B1b '!$G$41),0+(('B1b '!$H$41-'B1b '!$H$40)/('B1b '!$G$41-'B1b '!$G$40))*(L219-'B1b '!$G$40),0))</f>
        <v>0</v>
      </c>
      <c r="N219" s="415"/>
      <c r="O219" s="415"/>
      <c r="P219" s="415"/>
      <c r="Q219" s="415"/>
      <c r="R219" s="434"/>
      <c r="S219" s="612"/>
      <c r="T219" s="612"/>
      <c r="U219" s="612"/>
      <c r="V219" s="612"/>
      <c r="W219" s="612"/>
      <c r="X219" s="612"/>
      <c r="Y219" s="612"/>
      <c r="Z219" s="612"/>
      <c r="AA219" s="612"/>
      <c r="AB219" s="612"/>
      <c r="AC219" s="615">
        <v>125</v>
      </c>
      <c r="AD219" s="436">
        <f>IF(AC219&lt;='B1b '!$L$41,'B1b '!$M$41,IF(AND(AC219&lt;='B1b '!$L$40,AC219&gt;'B1b '!$L$41),0+(('B1b '!$M$41-'B1b '!$M$40)/('B1b '!$L$41-'B1b '!$L$40))*(AC219-'B1b '!$L$40),0))</f>
        <v>24.466019417475728</v>
      </c>
      <c r="AE219" s="612"/>
      <c r="AF219" s="612"/>
      <c r="AG219" s="612"/>
      <c r="AH219" s="183"/>
    </row>
    <row r="220" spans="2:34">
      <c r="B220" s="182"/>
      <c r="C220" s="415"/>
      <c r="D220" s="415"/>
      <c r="E220" s="415"/>
      <c r="F220" s="415"/>
      <c r="G220" s="415"/>
      <c r="H220" s="415"/>
      <c r="I220" s="415"/>
      <c r="J220" s="415"/>
      <c r="K220" s="415"/>
      <c r="L220" s="616">
        <v>126</v>
      </c>
      <c r="M220" s="435">
        <f>IF(L220&lt;='B1b '!$G$41,'B1b '!$H$41,IF(AND(L220&lt;='B1b '!$G$40,L220&gt;'B1b '!$G$41),0+(('B1b '!$H$41-'B1b '!$H$40)/('B1b '!$G$41-'B1b '!$G$40))*(L220-'B1b '!$G$40),0))</f>
        <v>0</v>
      </c>
      <c r="N220" s="415"/>
      <c r="O220" s="415"/>
      <c r="P220" s="415"/>
      <c r="Q220" s="415"/>
      <c r="R220" s="434"/>
      <c r="S220" s="612"/>
      <c r="T220" s="612"/>
      <c r="U220" s="612"/>
      <c r="V220" s="612"/>
      <c r="W220" s="612"/>
      <c r="X220" s="612"/>
      <c r="Y220" s="612"/>
      <c r="Z220" s="612"/>
      <c r="AA220" s="612"/>
      <c r="AB220" s="612"/>
      <c r="AC220" s="615">
        <v>126</v>
      </c>
      <c r="AD220" s="436">
        <f>IF(AC220&lt;='B1b '!$L$41,'B1b '!$M$41,IF(AND(AC220&lt;='B1b '!$L$40,AC220&gt;'B1b '!$L$41),0+(('B1b '!$M$41-'B1b '!$M$40)/('B1b '!$L$41-'B1b '!$L$40))*(AC220-'B1b '!$L$40),0))</f>
        <v>23.300970873786405</v>
      </c>
      <c r="AE220" s="612"/>
      <c r="AF220" s="612"/>
      <c r="AG220" s="612"/>
      <c r="AH220" s="183"/>
    </row>
    <row r="221" spans="2:34">
      <c r="B221" s="182"/>
      <c r="C221" s="415"/>
      <c r="D221" s="415"/>
      <c r="E221" s="415"/>
      <c r="F221" s="415"/>
      <c r="G221" s="415"/>
      <c r="H221" s="415"/>
      <c r="I221" s="415"/>
      <c r="J221" s="415"/>
      <c r="K221" s="415"/>
      <c r="L221" s="616">
        <v>127</v>
      </c>
      <c r="M221" s="435">
        <f>IF(L221&lt;='B1b '!$G$41,'B1b '!$H$41,IF(AND(L221&lt;='B1b '!$G$40,L221&gt;'B1b '!$G$41),0+(('B1b '!$H$41-'B1b '!$H$40)/('B1b '!$G$41-'B1b '!$G$40))*(L221-'B1b '!$G$40),0))</f>
        <v>0</v>
      </c>
      <c r="N221" s="415"/>
      <c r="O221" s="415"/>
      <c r="P221" s="415"/>
      <c r="Q221" s="415"/>
      <c r="R221" s="434"/>
      <c r="S221" s="612"/>
      <c r="T221" s="612"/>
      <c r="U221" s="612"/>
      <c r="V221" s="612"/>
      <c r="W221" s="612"/>
      <c r="X221" s="612"/>
      <c r="Y221" s="612"/>
      <c r="Z221" s="612"/>
      <c r="AA221" s="612"/>
      <c r="AB221" s="612"/>
      <c r="AC221" s="615">
        <v>127</v>
      </c>
      <c r="AD221" s="436">
        <f>IF(AC221&lt;='B1b '!$L$41,'B1b '!$M$41,IF(AND(AC221&lt;='B1b '!$L$40,AC221&gt;'B1b '!$L$41),0+(('B1b '!$M$41-'B1b '!$M$40)/('B1b '!$L$41-'B1b '!$L$40))*(AC221-'B1b '!$L$40),0))</f>
        <v>22.135922330097085</v>
      </c>
      <c r="AE221" s="612"/>
      <c r="AF221" s="612"/>
      <c r="AG221" s="612"/>
      <c r="AH221" s="183"/>
    </row>
    <row r="222" spans="2:34">
      <c r="B222" s="182"/>
      <c r="C222" s="415"/>
      <c r="D222" s="415"/>
      <c r="E222" s="415"/>
      <c r="F222" s="415"/>
      <c r="G222" s="415"/>
      <c r="H222" s="415"/>
      <c r="I222" s="415"/>
      <c r="J222" s="415"/>
      <c r="K222" s="415"/>
      <c r="L222" s="616">
        <v>128</v>
      </c>
      <c r="M222" s="435">
        <f>IF(L222&lt;='B1b '!$G$41,'B1b '!$H$41,IF(AND(L222&lt;='B1b '!$G$40,L222&gt;'B1b '!$G$41),0+(('B1b '!$H$41-'B1b '!$H$40)/('B1b '!$G$41-'B1b '!$G$40))*(L222-'B1b '!$G$40),0))</f>
        <v>0</v>
      </c>
      <c r="N222" s="415"/>
      <c r="O222" s="415"/>
      <c r="P222" s="415"/>
      <c r="Q222" s="415"/>
      <c r="R222" s="434"/>
      <c r="S222" s="612"/>
      <c r="T222" s="612"/>
      <c r="U222" s="612"/>
      <c r="V222" s="612"/>
      <c r="W222" s="612"/>
      <c r="X222" s="612"/>
      <c r="Y222" s="612"/>
      <c r="Z222" s="612"/>
      <c r="AA222" s="612"/>
      <c r="AB222" s="612"/>
      <c r="AC222" s="615">
        <v>128</v>
      </c>
      <c r="AD222" s="436">
        <f>IF(AC222&lt;='B1b '!$L$41,'B1b '!$M$41,IF(AND(AC222&lt;='B1b '!$L$40,AC222&gt;'B1b '!$L$41),0+(('B1b '!$M$41-'B1b '!$M$40)/('B1b '!$L$41-'B1b '!$L$40))*(AC222-'B1b '!$L$40),0))</f>
        <v>20.970873786407765</v>
      </c>
      <c r="AE222" s="612"/>
      <c r="AF222" s="612"/>
      <c r="AG222" s="612"/>
      <c r="AH222" s="183"/>
    </row>
    <row r="223" spans="2:34">
      <c r="B223" s="182"/>
      <c r="C223" s="415"/>
      <c r="D223" s="415"/>
      <c r="E223" s="415"/>
      <c r="F223" s="415"/>
      <c r="G223" s="415"/>
      <c r="H223" s="415"/>
      <c r="I223" s="415"/>
      <c r="J223" s="415"/>
      <c r="K223" s="415"/>
      <c r="L223" s="616">
        <v>129</v>
      </c>
      <c r="M223" s="435">
        <f>IF(L223&lt;='B1b '!$G$41,'B1b '!$H$41,IF(AND(L223&lt;='B1b '!$G$40,L223&gt;'B1b '!$G$41),0+(('B1b '!$H$41-'B1b '!$H$40)/('B1b '!$G$41-'B1b '!$G$40))*(L223-'B1b '!$G$40),0))</f>
        <v>0</v>
      </c>
      <c r="N223" s="415"/>
      <c r="O223" s="415"/>
      <c r="P223" s="415"/>
      <c r="Q223" s="415"/>
      <c r="R223" s="434"/>
      <c r="S223" s="612"/>
      <c r="T223" s="612"/>
      <c r="U223" s="612"/>
      <c r="V223" s="612"/>
      <c r="W223" s="612"/>
      <c r="X223" s="612"/>
      <c r="Y223" s="612"/>
      <c r="Z223" s="612"/>
      <c r="AA223" s="612"/>
      <c r="AB223" s="612"/>
      <c r="AC223" s="615">
        <v>129</v>
      </c>
      <c r="AD223" s="436">
        <f>IF(AC223&lt;='B1b '!$L$41,'B1b '!$M$41,IF(AND(AC223&lt;='B1b '!$L$40,AC223&gt;'B1b '!$L$41),0+(('B1b '!$M$41-'B1b '!$M$40)/('B1b '!$L$41-'B1b '!$L$40))*(AC223-'B1b '!$L$40),0))</f>
        <v>19.805825242718445</v>
      </c>
      <c r="AE223" s="612"/>
      <c r="AF223" s="612"/>
      <c r="AG223" s="612"/>
      <c r="AH223" s="183"/>
    </row>
    <row r="224" spans="2:34">
      <c r="B224" s="182"/>
      <c r="C224" s="415"/>
      <c r="D224" s="415"/>
      <c r="E224" s="415"/>
      <c r="F224" s="415"/>
      <c r="G224" s="415"/>
      <c r="H224" s="415"/>
      <c r="I224" s="415"/>
      <c r="J224" s="415"/>
      <c r="K224" s="415"/>
      <c r="L224" s="616">
        <v>130</v>
      </c>
      <c r="M224" s="435">
        <f>IF(L224&lt;='B1b '!$G$41,'B1b '!$H$41,IF(AND(L224&lt;='B1b '!$G$40,L224&gt;'B1b '!$G$41),0+(('B1b '!$H$41-'B1b '!$H$40)/('B1b '!$G$41-'B1b '!$G$40))*(L224-'B1b '!$G$40),0))</f>
        <v>0</v>
      </c>
      <c r="N224" s="415"/>
      <c r="O224" s="415"/>
      <c r="P224" s="415"/>
      <c r="Q224" s="415"/>
      <c r="R224" s="434"/>
      <c r="S224" s="612"/>
      <c r="T224" s="612"/>
      <c r="U224" s="612"/>
      <c r="V224" s="612"/>
      <c r="W224" s="612"/>
      <c r="X224" s="612"/>
      <c r="Y224" s="612"/>
      <c r="Z224" s="612"/>
      <c r="AA224" s="612"/>
      <c r="AB224" s="612"/>
      <c r="AC224" s="615">
        <v>130</v>
      </c>
      <c r="AD224" s="436">
        <f>IF(AC224&lt;='B1b '!$L$41,'B1b '!$M$41,IF(AND(AC224&lt;='B1b '!$L$40,AC224&gt;'B1b '!$L$41),0+(('B1b '!$M$41-'B1b '!$M$40)/('B1b '!$L$41-'B1b '!$L$40))*(AC224-'B1b '!$L$40),0))</f>
        <v>18.640776699029125</v>
      </c>
      <c r="AE224" s="612"/>
      <c r="AF224" s="612"/>
      <c r="AG224" s="612"/>
      <c r="AH224" s="183"/>
    </row>
    <row r="225" spans="2:34">
      <c r="B225" s="182"/>
      <c r="C225" s="415"/>
      <c r="D225" s="415"/>
      <c r="E225" s="415"/>
      <c r="F225" s="415"/>
      <c r="G225" s="415"/>
      <c r="H225" s="415"/>
      <c r="I225" s="415"/>
      <c r="J225" s="415"/>
      <c r="K225" s="415"/>
      <c r="L225" s="616">
        <v>131</v>
      </c>
      <c r="M225" s="435">
        <f>IF(L225&lt;='B1b '!$G$41,'B1b '!$H$41,IF(AND(L225&lt;='B1b '!$G$40,L225&gt;'B1b '!$G$41),0+(('B1b '!$H$41-'B1b '!$H$40)/('B1b '!$G$41-'B1b '!$G$40))*(L225-'B1b '!$G$40),0))</f>
        <v>0</v>
      </c>
      <c r="N225" s="415"/>
      <c r="O225" s="415"/>
      <c r="P225" s="415"/>
      <c r="Q225" s="415"/>
      <c r="R225" s="434"/>
      <c r="S225" s="612"/>
      <c r="T225" s="612"/>
      <c r="U225" s="612"/>
      <c r="V225" s="612"/>
      <c r="W225" s="612"/>
      <c r="X225" s="612"/>
      <c r="Y225" s="612"/>
      <c r="Z225" s="612"/>
      <c r="AA225" s="612"/>
      <c r="AB225" s="612"/>
      <c r="AC225" s="615">
        <v>131</v>
      </c>
      <c r="AD225" s="436">
        <f>IF(AC225&lt;='B1b '!$L$41,'B1b '!$M$41,IF(AND(AC225&lt;='B1b '!$L$40,AC225&gt;'B1b '!$L$41),0+(('B1b '!$M$41-'B1b '!$M$40)/('B1b '!$L$41-'B1b '!$L$40))*(AC225-'B1b '!$L$40),0))</f>
        <v>17.475728155339805</v>
      </c>
      <c r="AE225" s="612"/>
      <c r="AF225" s="612"/>
      <c r="AG225" s="612"/>
      <c r="AH225" s="183"/>
    </row>
    <row r="226" spans="2:34">
      <c r="B226" s="182"/>
      <c r="C226" s="415"/>
      <c r="D226" s="415"/>
      <c r="E226" s="415"/>
      <c r="F226" s="415"/>
      <c r="G226" s="415"/>
      <c r="H226" s="415"/>
      <c r="I226" s="415"/>
      <c r="J226" s="415"/>
      <c r="K226" s="415"/>
      <c r="L226" s="616">
        <v>132</v>
      </c>
      <c r="M226" s="435">
        <f>IF(L226&lt;='B1b '!$G$41,'B1b '!$H$41,IF(AND(L226&lt;='B1b '!$G$40,L226&gt;'B1b '!$G$41),0+(('B1b '!$H$41-'B1b '!$H$40)/('B1b '!$G$41-'B1b '!$G$40))*(L226-'B1b '!$G$40),0))</f>
        <v>0</v>
      </c>
      <c r="N226" s="415"/>
      <c r="O226" s="415"/>
      <c r="P226" s="415"/>
      <c r="Q226" s="415"/>
      <c r="R226" s="434"/>
      <c r="S226" s="612"/>
      <c r="T226" s="612"/>
      <c r="U226" s="612"/>
      <c r="V226" s="612"/>
      <c r="W226" s="612"/>
      <c r="X226" s="612"/>
      <c r="Y226" s="612"/>
      <c r="Z226" s="612"/>
      <c r="AA226" s="612"/>
      <c r="AB226" s="612"/>
      <c r="AC226" s="615">
        <v>132</v>
      </c>
      <c r="AD226" s="436">
        <f>IF(AC226&lt;='B1b '!$L$41,'B1b '!$M$41,IF(AND(AC226&lt;='B1b '!$L$40,AC226&gt;'B1b '!$L$41),0+(('B1b '!$M$41-'B1b '!$M$40)/('B1b '!$L$41-'B1b '!$L$40))*(AC226-'B1b '!$L$40),0))</f>
        <v>16.310679611650485</v>
      </c>
      <c r="AE226" s="612"/>
      <c r="AF226" s="612"/>
      <c r="AG226" s="612"/>
      <c r="AH226" s="183"/>
    </row>
    <row r="227" spans="2:34">
      <c r="B227" s="182"/>
      <c r="C227" s="415"/>
      <c r="D227" s="415"/>
      <c r="E227" s="415"/>
      <c r="F227" s="415"/>
      <c r="G227" s="415"/>
      <c r="H227" s="415"/>
      <c r="I227" s="415"/>
      <c r="J227" s="415"/>
      <c r="K227" s="415"/>
      <c r="L227" s="616">
        <v>133</v>
      </c>
      <c r="M227" s="435">
        <f>IF(L227&lt;='B1b '!$G$41,'B1b '!$H$41,IF(AND(L227&lt;='B1b '!$G$40,L227&gt;'B1b '!$G$41),0+(('B1b '!$H$41-'B1b '!$H$40)/('B1b '!$G$41-'B1b '!$G$40))*(L227-'B1b '!$G$40),0))</f>
        <v>0</v>
      </c>
      <c r="N227" s="415"/>
      <c r="O227" s="415"/>
      <c r="P227" s="415"/>
      <c r="Q227" s="415"/>
      <c r="R227" s="434"/>
      <c r="S227" s="612"/>
      <c r="T227" s="612"/>
      <c r="U227" s="612"/>
      <c r="V227" s="612"/>
      <c r="W227" s="612"/>
      <c r="X227" s="612"/>
      <c r="Y227" s="612"/>
      <c r="Z227" s="612"/>
      <c r="AA227" s="612"/>
      <c r="AB227" s="612"/>
      <c r="AC227" s="615">
        <v>133</v>
      </c>
      <c r="AD227" s="436">
        <f>IF(AC227&lt;='B1b '!$L$41,'B1b '!$M$41,IF(AND(AC227&lt;='B1b '!$L$40,AC227&gt;'B1b '!$L$41),0+(('B1b '!$M$41-'B1b '!$M$40)/('B1b '!$L$41-'B1b '!$L$40))*(AC227-'B1b '!$L$40),0))</f>
        <v>15.145631067961164</v>
      </c>
      <c r="AE227" s="612"/>
      <c r="AF227" s="612"/>
      <c r="AG227" s="612"/>
      <c r="AH227" s="183"/>
    </row>
    <row r="228" spans="2:34">
      <c r="B228" s="182"/>
      <c r="C228" s="415"/>
      <c r="D228" s="415"/>
      <c r="E228" s="415"/>
      <c r="F228" s="415"/>
      <c r="G228" s="415"/>
      <c r="H228" s="415"/>
      <c r="I228" s="415"/>
      <c r="J228" s="415"/>
      <c r="K228" s="415"/>
      <c r="L228" s="616">
        <v>134</v>
      </c>
      <c r="M228" s="435">
        <f>IF(L228&lt;='B1b '!$G$41,'B1b '!$H$41,IF(AND(L228&lt;='B1b '!$G$40,L228&gt;'B1b '!$G$41),0+(('B1b '!$H$41-'B1b '!$H$40)/('B1b '!$G$41-'B1b '!$G$40))*(L228-'B1b '!$G$40),0))</f>
        <v>0</v>
      </c>
      <c r="N228" s="415"/>
      <c r="O228" s="415"/>
      <c r="P228" s="415"/>
      <c r="Q228" s="415"/>
      <c r="R228" s="434"/>
      <c r="S228" s="612"/>
      <c r="T228" s="612"/>
      <c r="U228" s="612"/>
      <c r="V228" s="612"/>
      <c r="W228" s="612"/>
      <c r="X228" s="612"/>
      <c r="Y228" s="612"/>
      <c r="Z228" s="612"/>
      <c r="AA228" s="612"/>
      <c r="AB228" s="612"/>
      <c r="AC228" s="615">
        <v>134</v>
      </c>
      <c r="AD228" s="436">
        <f>IF(AC228&lt;='B1b '!$L$41,'B1b '!$M$41,IF(AND(AC228&lt;='B1b '!$L$40,AC228&gt;'B1b '!$L$41),0+(('B1b '!$M$41-'B1b '!$M$40)/('B1b '!$L$41-'B1b '!$L$40))*(AC228-'B1b '!$L$40),0))</f>
        <v>13.980582524271844</v>
      </c>
      <c r="AE228" s="612"/>
      <c r="AF228" s="612"/>
      <c r="AG228" s="612"/>
      <c r="AH228" s="183"/>
    </row>
    <row r="229" spans="2:34">
      <c r="B229" s="182"/>
      <c r="C229" s="415"/>
      <c r="D229" s="415"/>
      <c r="E229" s="415"/>
      <c r="F229" s="415"/>
      <c r="G229" s="415"/>
      <c r="H229" s="415"/>
      <c r="I229" s="415"/>
      <c r="J229" s="415"/>
      <c r="K229" s="415"/>
      <c r="L229" s="616">
        <v>135</v>
      </c>
      <c r="M229" s="435">
        <f>IF(L229&lt;='B1b '!$G$41,'B1b '!$H$41,IF(AND(L229&lt;='B1b '!$G$40,L229&gt;'B1b '!$G$41),0+(('B1b '!$H$41-'B1b '!$H$40)/('B1b '!$G$41-'B1b '!$G$40))*(L229-'B1b '!$G$40),0))</f>
        <v>0</v>
      </c>
      <c r="N229" s="415"/>
      <c r="O229" s="415"/>
      <c r="P229" s="415"/>
      <c r="Q229" s="415"/>
      <c r="R229" s="434"/>
      <c r="S229" s="612"/>
      <c r="T229" s="612"/>
      <c r="U229" s="612"/>
      <c r="V229" s="612"/>
      <c r="W229" s="612"/>
      <c r="X229" s="612"/>
      <c r="Y229" s="612"/>
      <c r="Z229" s="612"/>
      <c r="AA229" s="612"/>
      <c r="AB229" s="612"/>
      <c r="AC229" s="615">
        <v>135</v>
      </c>
      <c r="AD229" s="436">
        <f>IF(AC229&lt;='B1b '!$L$41,'B1b '!$M$41,IF(AND(AC229&lt;='B1b '!$L$40,AC229&gt;'B1b '!$L$41),0+(('B1b '!$M$41-'B1b '!$M$40)/('B1b '!$L$41-'B1b '!$L$40))*(AC229-'B1b '!$L$40),0))</f>
        <v>12.815533980582524</v>
      </c>
      <c r="AE229" s="612"/>
      <c r="AF229" s="612"/>
      <c r="AG229" s="612"/>
      <c r="AH229" s="183"/>
    </row>
    <row r="230" spans="2:34">
      <c r="B230" s="182"/>
      <c r="C230" s="415"/>
      <c r="D230" s="415"/>
      <c r="E230" s="415"/>
      <c r="F230" s="415"/>
      <c r="G230" s="415"/>
      <c r="H230" s="415"/>
      <c r="I230" s="415"/>
      <c r="J230" s="415"/>
      <c r="K230" s="415"/>
      <c r="L230" s="616">
        <v>136</v>
      </c>
      <c r="M230" s="435">
        <f>IF(L230&lt;='B1b '!$G$41,'B1b '!$H$41,IF(AND(L230&lt;='B1b '!$G$40,L230&gt;'B1b '!$G$41),0+(('B1b '!$H$41-'B1b '!$H$40)/('B1b '!$G$41-'B1b '!$G$40))*(L230-'B1b '!$G$40),0))</f>
        <v>0</v>
      </c>
      <c r="N230" s="415"/>
      <c r="O230" s="415"/>
      <c r="P230" s="415"/>
      <c r="Q230" s="415"/>
      <c r="R230" s="434"/>
      <c r="S230" s="612"/>
      <c r="T230" s="612"/>
      <c r="U230" s="612"/>
      <c r="V230" s="612"/>
      <c r="W230" s="612"/>
      <c r="X230" s="612"/>
      <c r="Y230" s="612"/>
      <c r="Z230" s="612"/>
      <c r="AA230" s="612"/>
      <c r="AB230" s="612"/>
      <c r="AC230" s="615">
        <v>136</v>
      </c>
      <c r="AD230" s="436">
        <f>IF(AC230&lt;='B1b '!$L$41,'B1b '!$M$41,IF(AND(AC230&lt;='B1b '!$L$40,AC230&gt;'B1b '!$L$41),0+(('B1b '!$M$41-'B1b '!$M$40)/('B1b '!$L$41-'B1b '!$L$40))*(AC230-'B1b '!$L$40),0))</f>
        <v>11.650485436893202</v>
      </c>
      <c r="AE230" s="612"/>
      <c r="AF230" s="612"/>
      <c r="AG230" s="612"/>
      <c r="AH230" s="183"/>
    </row>
    <row r="231" spans="2:34">
      <c r="B231" s="182"/>
      <c r="C231" s="415"/>
      <c r="D231" s="415"/>
      <c r="E231" s="415"/>
      <c r="F231" s="415"/>
      <c r="G231" s="415"/>
      <c r="H231" s="415"/>
      <c r="I231" s="415"/>
      <c r="J231" s="415"/>
      <c r="K231" s="415"/>
      <c r="L231" s="616">
        <v>137</v>
      </c>
      <c r="M231" s="435">
        <f>IF(L231&lt;='B1b '!$G$41,'B1b '!$H$41,IF(AND(L231&lt;='B1b '!$G$40,L231&gt;'B1b '!$G$41),0+(('B1b '!$H$41-'B1b '!$H$40)/('B1b '!$G$41-'B1b '!$G$40))*(L231-'B1b '!$G$40),0))</f>
        <v>0</v>
      </c>
      <c r="N231" s="415"/>
      <c r="O231" s="415"/>
      <c r="P231" s="415"/>
      <c r="Q231" s="415"/>
      <c r="R231" s="434"/>
      <c r="S231" s="612"/>
      <c r="T231" s="612"/>
      <c r="U231" s="612"/>
      <c r="V231" s="612"/>
      <c r="W231" s="612"/>
      <c r="X231" s="612"/>
      <c r="Y231" s="612"/>
      <c r="Z231" s="612"/>
      <c r="AA231" s="612"/>
      <c r="AB231" s="612"/>
      <c r="AC231" s="615">
        <v>137</v>
      </c>
      <c r="AD231" s="436">
        <f>IF(AC231&lt;='B1b '!$L$41,'B1b '!$M$41,IF(AND(AC231&lt;='B1b '!$L$40,AC231&gt;'B1b '!$L$41),0+(('B1b '!$M$41-'B1b '!$M$40)/('B1b '!$L$41-'B1b '!$L$40))*(AC231-'B1b '!$L$40),0))</f>
        <v>10.485436893203882</v>
      </c>
      <c r="AE231" s="612"/>
      <c r="AF231" s="612"/>
      <c r="AG231" s="612"/>
      <c r="AH231" s="183"/>
    </row>
    <row r="232" spans="2:34">
      <c r="B232" s="182"/>
      <c r="C232" s="415"/>
      <c r="D232" s="415"/>
      <c r="E232" s="415"/>
      <c r="F232" s="415"/>
      <c r="G232" s="415"/>
      <c r="H232" s="415"/>
      <c r="I232" s="415"/>
      <c r="J232" s="415"/>
      <c r="K232" s="415"/>
      <c r="L232" s="616">
        <v>138</v>
      </c>
      <c r="M232" s="435">
        <f>IF(L232&lt;='B1b '!$G$41,'B1b '!$H$41,IF(AND(L232&lt;='B1b '!$G$40,L232&gt;'B1b '!$G$41),0+(('B1b '!$H$41-'B1b '!$H$40)/('B1b '!$G$41-'B1b '!$G$40))*(L232-'B1b '!$G$40),0))</f>
        <v>0</v>
      </c>
      <c r="N232" s="415"/>
      <c r="O232" s="415"/>
      <c r="P232" s="415"/>
      <c r="Q232" s="415"/>
      <c r="R232" s="434"/>
      <c r="S232" s="612"/>
      <c r="T232" s="612"/>
      <c r="U232" s="612"/>
      <c r="V232" s="612"/>
      <c r="W232" s="612"/>
      <c r="X232" s="612"/>
      <c r="Y232" s="612"/>
      <c r="Z232" s="612"/>
      <c r="AA232" s="612"/>
      <c r="AB232" s="612"/>
      <c r="AC232" s="615">
        <v>138</v>
      </c>
      <c r="AD232" s="436">
        <f>IF(AC232&lt;='B1b '!$L$41,'B1b '!$M$41,IF(AND(AC232&lt;='B1b '!$L$40,AC232&gt;'B1b '!$L$41),0+(('B1b '!$M$41-'B1b '!$M$40)/('B1b '!$L$41-'B1b '!$L$40))*(AC232-'B1b '!$L$40),0))</f>
        <v>9.3203883495145625</v>
      </c>
      <c r="AE232" s="612"/>
      <c r="AF232" s="612"/>
      <c r="AG232" s="612"/>
      <c r="AH232" s="183"/>
    </row>
    <row r="233" spans="2:34">
      <c r="B233" s="182"/>
      <c r="C233" s="415"/>
      <c r="D233" s="415"/>
      <c r="E233" s="415"/>
      <c r="F233" s="415"/>
      <c r="G233" s="415"/>
      <c r="H233" s="415"/>
      <c r="I233" s="415"/>
      <c r="J233" s="415"/>
      <c r="K233" s="415"/>
      <c r="L233" s="616">
        <v>139</v>
      </c>
      <c r="M233" s="435">
        <f>IF(L233&lt;='B1b '!$G$41,'B1b '!$H$41,IF(AND(L233&lt;='B1b '!$G$40,L233&gt;'B1b '!$G$41),0+(('B1b '!$H$41-'B1b '!$H$40)/('B1b '!$G$41-'B1b '!$G$40))*(L233-'B1b '!$G$40),0))</f>
        <v>0</v>
      </c>
      <c r="N233" s="415"/>
      <c r="O233" s="415"/>
      <c r="P233" s="415"/>
      <c r="Q233" s="415"/>
      <c r="R233" s="434"/>
      <c r="S233" s="612"/>
      <c r="T233" s="612"/>
      <c r="U233" s="612"/>
      <c r="V233" s="612"/>
      <c r="W233" s="612"/>
      <c r="X233" s="612"/>
      <c r="Y233" s="612"/>
      <c r="Z233" s="612"/>
      <c r="AA233" s="612"/>
      <c r="AB233" s="612"/>
      <c r="AC233" s="615">
        <v>139</v>
      </c>
      <c r="AD233" s="436">
        <f>IF(AC233&lt;='B1b '!$L$41,'B1b '!$M$41,IF(AND(AC233&lt;='B1b '!$L$40,AC233&gt;'B1b '!$L$41),0+(('B1b '!$M$41-'B1b '!$M$40)/('B1b '!$L$41-'B1b '!$L$40))*(AC233-'B1b '!$L$40),0))</f>
        <v>8.1553398058252426</v>
      </c>
      <c r="AE233" s="612"/>
      <c r="AF233" s="612"/>
      <c r="AG233" s="612"/>
      <c r="AH233" s="183"/>
    </row>
    <row r="234" spans="2:34">
      <c r="B234" s="182"/>
      <c r="C234" s="415"/>
      <c r="D234" s="415"/>
      <c r="E234" s="415"/>
      <c r="F234" s="415"/>
      <c r="G234" s="415"/>
      <c r="H234" s="415"/>
      <c r="I234" s="415"/>
      <c r="J234" s="415"/>
      <c r="K234" s="415"/>
      <c r="L234" s="616">
        <v>140</v>
      </c>
      <c r="M234" s="435">
        <f>IF(L234&lt;='B1b '!$G$41,'B1b '!$H$41,IF(AND(L234&lt;='B1b '!$G$40,L234&gt;'B1b '!$G$41),0+(('B1b '!$H$41-'B1b '!$H$40)/('B1b '!$G$41-'B1b '!$G$40))*(L234-'B1b '!$G$40),0))</f>
        <v>0</v>
      </c>
      <c r="N234" s="415"/>
      <c r="O234" s="415"/>
      <c r="P234" s="415"/>
      <c r="Q234" s="415"/>
      <c r="R234" s="434"/>
      <c r="S234" s="612"/>
      <c r="T234" s="612"/>
      <c r="U234" s="612"/>
      <c r="V234" s="612"/>
      <c r="W234" s="612"/>
      <c r="X234" s="612"/>
      <c r="Y234" s="612"/>
      <c r="Z234" s="612"/>
      <c r="AA234" s="612"/>
      <c r="AB234" s="612"/>
      <c r="AC234" s="615">
        <v>140</v>
      </c>
      <c r="AD234" s="436">
        <f>IF(AC234&lt;='B1b '!$L$41,'B1b '!$M$41,IF(AND(AC234&lt;='B1b '!$L$40,AC234&gt;'B1b '!$L$41),0+(('B1b '!$M$41-'B1b '!$M$40)/('B1b '!$L$41-'B1b '!$L$40))*(AC234-'B1b '!$L$40),0))</f>
        <v>6.9902912621359219</v>
      </c>
      <c r="AE234" s="612"/>
      <c r="AF234" s="612"/>
      <c r="AG234" s="612"/>
      <c r="AH234" s="183"/>
    </row>
    <row r="235" spans="2:34">
      <c r="B235" s="182"/>
      <c r="C235" s="415"/>
      <c r="D235" s="415"/>
      <c r="E235" s="415"/>
      <c r="F235" s="415"/>
      <c r="G235" s="415"/>
      <c r="H235" s="415"/>
      <c r="I235" s="415"/>
      <c r="J235" s="415"/>
      <c r="K235" s="415"/>
      <c r="L235" s="616">
        <v>141</v>
      </c>
      <c r="M235" s="435">
        <f>IF(L235&lt;='B1b '!$G$41,'B1b '!$H$41,IF(AND(L235&lt;='B1b '!$G$40,L235&gt;'B1b '!$G$41),0+(('B1b '!$H$41-'B1b '!$H$40)/('B1b '!$G$41-'B1b '!$G$40))*(L235-'B1b '!$G$40),0))</f>
        <v>0</v>
      </c>
      <c r="N235" s="415"/>
      <c r="O235" s="415"/>
      <c r="P235" s="415"/>
      <c r="Q235" s="415"/>
      <c r="R235" s="434"/>
      <c r="S235" s="612"/>
      <c r="T235" s="612"/>
      <c r="U235" s="612"/>
      <c r="V235" s="612"/>
      <c r="W235" s="612"/>
      <c r="X235" s="612"/>
      <c r="Y235" s="612"/>
      <c r="Z235" s="612"/>
      <c r="AA235" s="612"/>
      <c r="AB235" s="612"/>
      <c r="AC235" s="615">
        <v>141</v>
      </c>
      <c r="AD235" s="436">
        <f>IF(AC235&lt;='B1b '!$L$41,'B1b '!$M$41,IF(AND(AC235&lt;='B1b '!$L$40,AC235&gt;'B1b '!$L$41),0+(('B1b '!$M$41-'B1b '!$M$40)/('B1b '!$L$41-'B1b '!$L$40))*(AC235-'B1b '!$L$40),0))</f>
        <v>5.8252427184466011</v>
      </c>
      <c r="AE235" s="612"/>
      <c r="AF235" s="612"/>
      <c r="AG235" s="612"/>
      <c r="AH235" s="183"/>
    </row>
    <row r="236" spans="2:34">
      <c r="B236" s="182"/>
      <c r="C236" s="415"/>
      <c r="D236" s="415"/>
      <c r="E236" s="415"/>
      <c r="F236" s="415"/>
      <c r="G236" s="415"/>
      <c r="H236" s="415"/>
      <c r="I236" s="415"/>
      <c r="J236" s="415"/>
      <c r="K236" s="415"/>
      <c r="L236" s="616">
        <v>142</v>
      </c>
      <c r="M236" s="435">
        <f>IF(L236&lt;='B1b '!$G$41,'B1b '!$H$41,IF(AND(L236&lt;='B1b '!$G$40,L236&gt;'B1b '!$G$41),0+(('B1b '!$H$41-'B1b '!$H$40)/('B1b '!$G$41-'B1b '!$G$40))*(L236-'B1b '!$G$40),0))</f>
        <v>0</v>
      </c>
      <c r="N236" s="415"/>
      <c r="O236" s="415"/>
      <c r="P236" s="415"/>
      <c r="Q236" s="415"/>
      <c r="R236" s="434"/>
      <c r="S236" s="612"/>
      <c r="T236" s="612"/>
      <c r="U236" s="612"/>
      <c r="V236" s="612"/>
      <c r="W236" s="612"/>
      <c r="X236" s="612"/>
      <c r="Y236" s="612"/>
      <c r="Z236" s="612"/>
      <c r="AA236" s="612"/>
      <c r="AB236" s="612"/>
      <c r="AC236" s="615">
        <v>142</v>
      </c>
      <c r="AD236" s="436">
        <f>IF(AC236&lt;='B1b '!$L$41,'B1b '!$M$41,IF(AND(AC236&lt;='B1b '!$L$40,AC236&gt;'B1b '!$L$41),0+(('B1b '!$M$41-'B1b '!$M$40)/('B1b '!$L$41-'B1b '!$L$40))*(AC236-'B1b '!$L$40),0))</f>
        <v>4.6601941747572813</v>
      </c>
      <c r="AE236" s="612"/>
      <c r="AF236" s="612"/>
      <c r="AG236" s="612"/>
      <c r="AH236" s="183"/>
    </row>
    <row r="237" spans="2:34">
      <c r="B237" s="182"/>
      <c r="C237" s="415"/>
      <c r="D237" s="415"/>
      <c r="E237" s="415"/>
      <c r="F237" s="415"/>
      <c r="G237" s="415"/>
      <c r="H237" s="415"/>
      <c r="I237" s="415"/>
      <c r="J237" s="415"/>
      <c r="K237" s="415"/>
      <c r="L237" s="616">
        <v>143</v>
      </c>
      <c r="M237" s="435">
        <f>IF(L237&lt;='B1b '!$G$41,'B1b '!$H$41,IF(AND(L237&lt;='B1b '!$G$40,L237&gt;'B1b '!$G$41),0+(('B1b '!$H$41-'B1b '!$H$40)/('B1b '!$G$41-'B1b '!$G$40))*(L237-'B1b '!$G$40),0))</f>
        <v>0</v>
      </c>
      <c r="N237" s="415"/>
      <c r="O237" s="415"/>
      <c r="P237" s="415"/>
      <c r="Q237" s="415"/>
      <c r="R237" s="434"/>
      <c r="S237" s="612"/>
      <c r="T237" s="612"/>
      <c r="U237" s="612"/>
      <c r="V237" s="612"/>
      <c r="W237" s="612"/>
      <c r="X237" s="612"/>
      <c r="Y237" s="612"/>
      <c r="Z237" s="612"/>
      <c r="AA237" s="612"/>
      <c r="AB237" s="612"/>
      <c r="AC237" s="615">
        <v>143</v>
      </c>
      <c r="AD237" s="436">
        <f>IF(AC237&lt;='B1b '!$L$41,'B1b '!$M$41,IF(AND(AC237&lt;='B1b '!$L$40,AC237&gt;'B1b '!$L$41),0+(('B1b '!$M$41-'B1b '!$M$40)/('B1b '!$L$41-'B1b '!$L$40))*(AC237-'B1b '!$L$40),0))</f>
        <v>3.4951456310679609</v>
      </c>
      <c r="AE237" s="612"/>
      <c r="AF237" s="612"/>
      <c r="AG237" s="612"/>
      <c r="AH237" s="183"/>
    </row>
    <row r="238" spans="2:34">
      <c r="B238" s="182"/>
      <c r="C238" s="415"/>
      <c r="D238" s="415"/>
      <c r="E238" s="415"/>
      <c r="F238" s="415"/>
      <c r="G238" s="415"/>
      <c r="H238" s="415"/>
      <c r="I238" s="415"/>
      <c r="J238" s="415"/>
      <c r="K238" s="415"/>
      <c r="L238" s="616">
        <v>144</v>
      </c>
      <c r="M238" s="435">
        <f>IF(L238&lt;='B1b '!$G$41,'B1b '!$H$41,IF(AND(L238&lt;='B1b '!$G$40,L238&gt;'B1b '!$G$41),0+(('B1b '!$H$41-'B1b '!$H$40)/('B1b '!$G$41-'B1b '!$G$40))*(L238-'B1b '!$G$40),0))</f>
        <v>0</v>
      </c>
      <c r="N238" s="415"/>
      <c r="O238" s="415"/>
      <c r="P238" s="415"/>
      <c r="Q238" s="415"/>
      <c r="R238" s="434"/>
      <c r="S238" s="612"/>
      <c r="T238" s="612"/>
      <c r="U238" s="612"/>
      <c r="V238" s="612"/>
      <c r="W238" s="612"/>
      <c r="X238" s="612"/>
      <c r="Y238" s="612"/>
      <c r="Z238" s="612"/>
      <c r="AA238" s="612"/>
      <c r="AB238" s="612"/>
      <c r="AC238" s="615">
        <v>144</v>
      </c>
      <c r="AD238" s="436">
        <f>IF(AC238&lt;='B1b '!$L$41,'B1b '!$M$41,IF(AND(AC238&lt;='B1b '!$L$40,AC238&gt;'B1b '!$L$41),0+(('B1b '!$M$41-'B1b '!$M$40)/('B1b '!$L$41-'B1b '!$L$40))*(AC238-'B1b '!$L$40),0))</f>
        <v>2.3300970873786406</v>
      </c>
      <c r="AE238" s="612"/>
      <c r="AF238" s="612"/>
      <c r="AG238" s="612"/>
      <c r="AH238" s="183"/>
    </row>
    <row r="239" spans="2:34">
      <c r="B239" s="182"/>
      <c r="C239" s="415"/>
      <c r="D239" s="415"/>
      <c r="E239" s="415"/>
      <c r="F239" s="415"/>
      <c r="G239" s="415"/>
      <c r="H239" s="415"/>
      <c r="I239" s="415"/>
      <c r="J239" s="415"/>
      <c r="K239" s="415"/>
      <c r="L239" s="616">
        <v>145</v>
      </c>
      <c r="M239" s="435">
        <f>IF(L239&lt;='B1b '!$G$41,'B1b '!$H$41,IF(AND(L239&lt;='B1b '!$G$40,L239&gt;'B1b '!$G$41),0+(('B1b '!$H$41-'B1b '!$H$40)/('B1b '!$G$41-'B1b '!$G$40))*(L239-'B1b '!$G$40),0))</f>
        <v>0</v>
      </c>
      <c r="N239" s="415"/>
      <c r="O239" s="415"/>
      <c r="P239" s="415"/>
      <c r="Q239" s="415"/>
      <c r="R239" s="434"/>
      <c r="S239" s="612"/>
      <c r="T239" s="612"/>
      <c r="U239" s="612"/>
      <c r="V239" s="612"/>
      <c r="W239" s="612"/>
      <c r="X239" s="612"/>
      <c r="Y239" s="612"/>
      <c r="Z239" s="612"/>
      <c r="AA239" s="612"/>
      <c r="AB239" s="612"/>
      <c r="AC239" s="615">
        <v>145</v>
      </c>
      <c r="AD239" s="436">
        <f>IF(AC239&lt;='B1b '!$L$41,'B1b '!$M$41,IF(AND(AC239&lt;='B1b '!$L$40,AC239&gt;'B1b '!$L$41),0+(('B1b '!$M$41-'B1b '!$M$40)/('B1b '!$L$41-'B1b '!$L$40))*(AC239-'B1b '!$L$40),0))</f>
        <v>1.1650485436893203</v>
      </c>
      <c r="AE239" s="612"/>
      <c r="AF239" s="612"/>
      <c r="AG239" s="612"/>
      <c r="AH239" s="183"/>
    </row>
    <row r="240" spans="2:34">
      <c r="B240" s="182"/>
      <c r="C240" s="415"/>
      <c r="D240" s="415"/>
      <c r="E240" s="415"/>
      <c r="F240" s="415"/>
      <c r="G240" s="415"/>
      <c r="H240" s="415"/>
      <c r="I240" s="415"/>
      <c r="J240" s="415"/>
      <c r="K240" s="415"/>
      <c r="L240" s="616">
        <v>146</v>
      </c>
      <c r="M240" s="435">
        <f>IF(L240&lt;='B1b '!$G$41,'B1b '!$H$41,IF(AND(L240&lt;='B1b '!$G$40,L240&gt;'B1b '!$G$41),0+(('B1b '!$H$41-'B1b '!$H$40)/('B1b '!$G$41-'B1b '!$G$40))*(L240-'B1b '!$G$40),0))</f>
        <v>0</v>
      </c>
      <c r="N240" s="415"/>
      <c r="O240" s="415"/>
      <c r="P240" s="415"/>
      <c r="Q240" s="415"/>
      <c r="R240" s="434"/>
      <c r="S240" s="612"/>
      <c r="T240" s="612"/>
      <c r="U240" s="612"/>
      <c r="V240" s="612"/>
      <c r="W240" s="612"/>
      <c r="X240" s="612"/>
      <c r="Y240" s="612"/>
      <c r="Z240" s="612"/>
      <c r="AA240" s="612"/>
      <c r="AB240" s="612"/>
      <c r="AC240" s="615">
        <v>146</v>
      </c>
      <c r="AD240" s="436">
        <f>IF(AC240&lt;='B1b '!$L$41,'B1b '!$M$41,IF(AND(AC240&lt;='B1b '!$L$40,AC240&gt;'B1b '!$L$41),0+(('B1b '!$M$41-'B1b '!$M$40)/('B1b '!$L$41-'B1b '!$L$40))*(AC240-'B1b '!$L$40),0))</f>
        <v>0</v>
      </c>
      <c r="AE240" s="612"/>
      <c r="AF240" s="612"/>
      <c r="AG240" s="612"/>
      <c r="AH240" s="183"/>
    </row>
    <row r="241" spans="2:34">
      <c r="B241" s="182"/>
      <c r="C241" s="415"/>
      <c r="D241" s="415"/>
      <c r="E241" s="415"/>
      <c r="F241" s="415"/>
      <c r="G241" s="415"/>
      <c r="H241" s="415"/>
      <c r="I241" s="415"/>
      <c r="J241" s="415"/>
      <c r="K241" s="415"/>
      <c r="L241" s="616">
        <v>147</v>
      </c>
      <c r="M241" s="435">
        <f>IF(L241&lt;='B1b '!$G$41,'B1b '!$H$41,IF(AND(L241&lt;='B1b '!$G$40,L241&gt;'B1b '!$G$41),0+(('B1b '!$H$41-'B1b '!$H$40)/('B1b '!$G$41-'B1b '!$G$40))*(L241-'B1b '!$G$40),0))</f>
        <v>0</v>
      </c>
      <c r="N241" s="415"/>
      <c r="O241" s="415"/>
      <c r="P241" s="415"/>
      <c r="Q241" s="415"/>
      <c r="R241" s="434"/>
      <c r="S241" s="612"/>
      <c r="T241" s="612"/>
      <c r="U241" s="612"/>
      <c r="V241" s="612"/>
      <c r="W241" s="612"/>
      <c r="X241" s="612"/>
      <c r="Y241" s="612"/>
      <c r="Z241" s="612"/>
      <c r="AA241" s="612"/>
      <c r="AB241" s="612"/>
      <c r="AC241" s="615">
        <v>147</v>
      </c>
      <c r="AD241" s="436">
        <f>IF(AC241&lt;='B1b '!$L$41,'B1b '!$M$41,IF(AND(AC241&lt;='B1b '!$L$40,AC241&gt;'B1b '!$L$41),0+(('B1b '!$M$41-'B1b '!$M$40)/('B1b '!$L$41-'B1b '!$L$40))*(AC241-'B1b '!$L$40),0))</f>
        <v>0</v>
      </c>
      <c r="AE241" s="612"/>
      <c r="AF241" s="612"/>
      <c r="AG241" s="612"/>
      <c r="AH241" s="183"/>
    </row>
    <row r="242" spans="2:34">
      <c r="B242" s="182"/>
      <c r="C242" s="415"/>
      <c r="D242" s="415"/>
      <c r="E242" s="415"/>
      <c r="F242" s="415"/>
      <c r="G242" s="415"/>
      <c r="H242" s="415"/>
      <c r="I242" s="415"/>
      <c r="J242" s="415"/>
      <c r="K242" s="415"/>
      <c r="L242" s="616">
        <v>148</v>
      </c>
      <c r="M242" s="435">
        <f>IF(L242&lt;='B1b '!$G$41,'B1b '!$H$41,IF(AND(L242&lt;='B1b '!$G$40,L242&gt;'B1b '!$G$41),0+(('B1b '!$H$41-'B1b '!$H$40)/('B1b '!$G$41-'B1b '!$G$40))*(L242-'B1b '!$G$40),0))</f>
        <v>0</v>
      </c>
      <c r="N242" s="415"/>
      <c r="O242" s="415"/>
      <c r="P242" s="415"/>
      <c r="Q242" s="415"/>
      <c r="R242" s="434"/>
      <c r="S242" s="612"/>
      <c r="T242" s="612"/>
      <c r="U242" s="612"/>
      <c r="V242" s="612"/>
      <c r="W242" s="612"/>
      <c r="X242" s="612"/>
      <c r="Y242" s="612"/>
      <c r="Z242" s="612"/>
      <c r="AA242" s="612"/>
      <c r="AB242" s="612"/>
      <c r="AC242" s="615">
        <v>148</v>
      </c>
      <c r="AD242" s="436">
        <f>IF(AC242&lt;='B1b '!$L$41,'B1b '!$M$41,IF(AND(AC242&lt;='B1b '!$L$40,AC242&gt;'B1b '!$L$41),0+(('B1b '!$M$41-'B1b '!$M$40)/('B1b '!$L$41-'B1b '!$L$40))*(AC242-'B1b '!$L$40),0))</f>
        <v>0</v>
      </c>
      <c r="AE242" s="612"/>
      <c r="AF242" s="612"/>
      <c r="AG242" s="612"/>
      <c r="AH242" s="183"/>
    </row>
    <row r="243" spans="2:34">
      <c r="B243" s="182"/>
      <c r="C243" s="415"/>
      <c r="D243" s="415"/>
      <c r="E243" s="415"/>
      <c r="F243" s="415"/>
      <c r="G243" s="415"/>
      <c r="H243" s="415"/>
      <c r="I243" s="415"/>
      <c r="J243" s="415"/>
      <c r="K243" s="415"/>
      <c r="L243" s="616">
        <v>149</v>
      </c>
      <c r="M243" s="435">
        <f>IF(L243&lt;='B1b '!$G$41,'B1b '!$H$41,IF(AND(L243&lt;='B1b '!$G$40,L243&gt;'B1b '!$G$41),0+(('B1b '!$H$41-'B1b '!$H$40)/('B1b '!$G$41-'B1b '!$G$40))*(L243-'B1b '!$G$40),0))</f>
        <v>0</v>
      </c>
      <c r="N243" s="415"/>
      <c r="O243" s="415"/>
      <c r="P243" s="415"/>
      <c r="Q243" s="415"/>
      <c r="R243" s="434"/>
      <c r="S243" s="612"/>
      <c r="T243" s="612"/>
      <c r="U243" s="612"/>
      <c r="V243" s="612"/>
      <c r="W243" s="612"/>
      <c r="X243" s="612"/>
      <c r="Y243" s="612"/>
      <c r="Z243" s="612"/>
      <c r="AA243" s="612"/>
      <c r="AB243" s="612"/>
      <c r="AC243" s="615">
        <v>149</v>
      </c>
      <c r="AD243" s="436">
        <f>IF(AC243&lt;='B1b '!$L$41,'B1b '!$M$41,IF(AND(AC243&lt;='B1b '!$L$40,AC243&gt;'B1b '!$L$41),0+(('B1b '!$M$41-'B1b '!$M$40)/('B1b '!$L$41-'B1b '!$L$40))*(AC243-'B1b '!$L$40),0))</f>
        <v>0</v>
      </c>
      <c r="AE243" s="612"/>
      <c r="AF243" s="612"/>
      <c r="AG243" s="612"/>
      <c r="AH243" s="183"/>
    </row>
    <row r="244" spans="2:34">
      <c r="B244" s="182"/>
      <c r="C244" s="415"/>
      <c r="D244" s="415"/>
      <c r="E244" s="415"/>
      <c r="F244" s="415"/>
      <c r="G244" s="415"/>
      <c r="H244" s="415"/>
      <c r="I244" s="415"/>
      <c r="J244" s="415"/>
      <c r="K244" s="415"/>
      <c r="L244" s="616">
        <v>150</v>
      </c>
      <c r="M244" s="435">
        <f>IF(L244&lt;='B1b '!$G$41,'B1b '!$H$41,IF(AND(L244&lt;='B1b '!$G$40,L244&gt;'B1b '!$G$41),0+(('B1b '!$H$41-'B1b '!$H$40)/('B1b '!$G$41-'B1b '!$G$40))*(L244-'B1b '!$G$40),0))</f>
        <v>0</v>
      </c>
      <c r="N244" s="415"/>
      <c r="O244" s="415"/>
      <c r="P244" s="415"/>
      <c r="Q244" s="415"/>
      <c r="R244" s="434"/>
      <c r="S244" s="612"/>
      <c r="T244" s="612"/>
      <c r="U244" s="612"/>
      <c r="V244" s="612"/>
      <c r="W244" s="612"/>
      <c r="X244" s="612"/>
      <c r="Y244" s="612"/>
      <c r="Z244" s="612"/>
      <c r="AA244" s="612"/>
      <c r="AB244" s="612"/>
      <c r="AC244" s="615">
        <v>150</v>
      </c>
      <c r="AD244" s="436">
        <f>IF(AC244&lt;='B1b '!$L$41,'B1b '!$M$41,IF(AND(AC244&lt;='B1b '!$L$40,AC244&gt;'B1b '!$L$41),0+(('B1b '!$M$41-'B1b '!$M$40)/('B1b '!$L$41-'B1b '!$L$40))*(AC244-'B1b '!$L$40),0))</f>
        <v>0</v>
      </c>
      <c r="AE244" s="612"/>
      <c r="AF244" s="612"/>
      <c r="AG244" s="612"/>
      <c r="AH244" s="183"/>
    </row>
    <row r="245" spans="2:34">
      <c r="B245" s="182"/>
      <c r="C245" s="415"/>
      <c r="D245" s="415"/>
      <c r="E245" s="415"/>
      <c r="F245" s="415"/>
      <c r="G245" s="415"/>
      <c r="H245" s="415"/>
      <c r="I245" s="415"/>
      <c r="J245" s="415"/>
      <c r="K245" s="415"/>
      <c r="L245" s="415"/>
      <c r="M245" s="415"/>
      <c r="N245" s="415"/>
      <c r="O245" s="415"/>
      <c r="P245" s="415"/>
      <c r="Q245" s="415"/>
      <c r="R245" s="434"/>
      <c r="S245" s="612"/>
      <c r="T245" s="612"/>
      <c r="U245" s="612"/>
      <c r="V245" s="612"/>
      <c r="W245" s="612"/>
      <c r="X245" s="612"/>
      <c r="Y245" s="612"/>
      <c r="Z245" s="612"/>
      <c r="AA245" s="612"/>
      <c r="AB245" s="612"/>
      <c r="AC245" s="612"/>
      <c r="AD245" s="612"/>
      <c r="AE245" s="612"/>
      <c r="AF245" s="612"/>
      <c r="AG245" s="612"/>
      <c r="AH245" s="183"/>
    </row>
    <row r="246" spans="2:34">
      <c r="B246" s="182"/>
      <c r="C246" s="415"/>
      <c r="D246" s="415"/>
      <c r="E246" s="415"/>
      <c r="F246" s="415"/>
      <c r="G246" s="415"/>
      <c r="H246" s="415"/>
      <c r="I246" s="415"/>
      <c r="J246" s="415"/>
      <c r="K246" s="415"/>
      <c r="L246" s="415"/>
      <c r="M246" s="415"/>
      <c r="N246" s="415"/>
      <c r="O246" s="415"/>
      <c r="P246" s="415"/>
      <c r="Q246" s="415"/>
      <c r="R246" s="434"/>
      <c r="S246" s="612"/>
      <c r="T246" s="612"/>
      <c r="U246" s="612"/>
      <c r="V246" s="612"/>
      <c r="W246" s="612"/>
      <c r="X246" s="612"/>
      <c r="Y246" s="612"/>
      <c r="Z246" s="612"/>
      <c r="AA246" s="612"/>
      <c r="AB246" s="612"/>
      <c r="AC246" s="612"/>
      <c r="AD246" s="612"/>
      <c r="AE246" s="612"/>
      <c r="AF246" s="612"/>
      <c r="AG246" s="612"/>
      <c r="AH246" s="183"/>
    </row>
    <row r="247" spans="2:34">
      <c r="B247" s="182"/>
      <c r="C247" s="182"/>
      <c r="D247" s="182"/>
      <c r="E247" s="182"/>
      <c r="F247" s="182"/>
      <c r="G247" s="182"/>
      <c r="H247" s="182"/>
      <c r="I247" s="182"/>
      <c r="J247" s="182"/>
      <c r="K247" s="182"/>
      <c r="L247" s="182"/>
      <c r="M247" s="182"/>
      <c r="N247" s="182"/>
      <c r="O247" s="182"/>
      <c r="P247" s="182"/>
      <c r="Q247" s="182"/>
      <c r="S247" s="183"/>
      <c r="T247" s="183"/>
      <c r="U247" s="183"/>
      <c r="V247" s="183"/>
      <c r="W247" s="183"/>
      <c r="X247" s="183"/>
      <c r="Y247" s="183"/>
      <c r="Z247" s="183"/>
      <c r="AA247" s="183"/>
      <c r="AB247" s="183"/>
      <c r="AC247" s="183"/>
      <c r="AD247" s="183"/>
      <c r="AE247" s="183"/>
      <c r="AF247" s="183"/>
      <c r="AG247" s="183"/>
      <c r="AH247" s="183"/>
    </row>
  </sheetData>
  <mergeCells count="12">
    <mergeCell ref="F92:G92"/>
    <mergeCell ref="W92:X92"/>
    <mergeCell ref="O92:P92"/>
    <mergeCell ref="AF92:AG92"/>
    <mergeCell ref="B2:Q3"/>
    <mergeCell ref="S2:AH3"/>
    <mergeCell ref="C92:D92"/>
    <mergeCell ref="I92:J92"/>
    <mergeCell ref="L92:M92"/>
    <mergeCell ref="T92:U92"/>
    <mergeCell ref="Z92:AA92"/>
    <mergeCell ref="AC92:AD92"/>
  </mergeCells>
  <pageMargins left="0.7" right="0.7" top="0.78740157499999996" bottom="0.78740157499999996" header="0.3" footer="0.3"/>
  <pageSetup paperSize="9" scale="2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D15"/>
  <sheetViews>
    <sheetView showGridLines="0" zoomScale="85" zoomScaleNormal="85" workbookViewId="0">
      <selection activeCell="D5" sqref="D5"/>
    </sheetView>
  </sheetViews>
  <sheetFormatPr baseColWidth="10" defaultColWidth="11.42578125" defaultRowHeight="14.25"/>
  <cols>
    <col min="1" max="1" width="79.42578125" style="121" customWidth="1"/>
    <col min="2" max="2" width="15.140625" style="121" customWidth="1"/>
    <col min="3" max="3" width="19.5703125" style="121" customWidth="1"/>
    <col min="4" max="4" width="30.7109375" style="666" customWidth="1"/>
    <col min="5" max="5" width="11.42578125" style="121" customWidth="1"/>
    <col min="6" max="16384" width="11.42578125" style="121"/>
  </cols>
  <sheetData>
    <row r="1" spans="1:4" ht="24.95" customHeight="1">
      <c r="A1" s="807" t="s">
        <v>354</v>
      </c>
      <c r="B1" s="807"/>
      <c r="C1" s="807"/>
      <c r="D1" s="664"/>
    </row>
    <row r="2" spans="1:4" ht="7.5" customHeight="1" thickBot="1">
      <c r="A2" s="94"/>
      <c r="B2" s="122"/>
      <c r="C2" s="95"/>
      <c r="D2" s="645"/>
    </row>
    <row r="3" spans="1:4" ht="24.95" customHeight="1">
      <c r="A3" s="971" t="s">
        <v>220</v>
      </c>
      <c r="B3" s="972"/>
      <c r="C3" s="973"/>
      <c r="D3" s="665" t="s">
        <v>254</v>
      </c>
    </row>
    <row r="4" spans="1:4" s="125" customFormat="1" ht="24.95" customHeight="1">
      <c r="A4" s="123" t="s">
        <v>251</v>
      </c>
      <c r="B4" s="364"/>
      <c r="C4" s="124" t="s">
        <v>61</v>
      </c>
      <c r="D4" s="698"/>
    </row>
    <row r="5" spans="1:4" s="125" customFormat="1" ht="58.7" customHeight="1">
      <c r="A5" s="123" t="s">
        <v>368</v>
      </c>
      <c r="B5" s="364"/>
      <c r="C5" s="124" t="s">
        <v>221</v>
      </c>
      <c r="D5" s="698"/>
    </row>
    <row r="6" spans="1:4" s="120" customFormat="1" ht="42" customHeight="1">
      <c r="A6" s="126" t="s">
        <v>369</v>
      </c>
      <c r="B6" s="977"/>
      <c r="C6" s="978"/>
      <c r="D6" s="698"/>
    </row>
    <row r="7" spans="1:4" s="120" customFormat="1" ht="24.95" customHeight="1">
      <c r="A7" s="301"/>
      <c r="B7" s="300"/>
      <c r="C7" s="302"/>
      <c r="D7" s="645"/>
    </row>
    <row r="8" spans="1:4" s="120" customFormat="1" ht="24.95" customHeight="1">
      <c r="A8" s="974" t="s">
        <v>217</v>
      </c>
      <c r="B8" s="975"/>
      <c r="C8" s="976"/>
      <c r="D8" s="645"/>
    </row>
    <row r="9" spans="1:4" s="120" customFormat="1" ht="29.25" customHeight="1">
      <c r="A9" s="309" t="s">
        <v>222</v>
      </c>
      <c r="B9" s="365">
        <f>6*B4</f>
        <v>0</v>
      </c>
      <c r="C9" s="310" t="s">
        <v>221</v>
      </c>
      <c r="D9" s="664"/>
    </row>
    <row r="10" spans="1:4" s="120" customFormat="1" ht="24.95" customHeight="1">
      <c r="A10" s="312" t="s">
        <v>223</v>
      </c>
      <c r="B10" s="366">
        <f>20*B4</f>
        <v>0</v>
      </c>
      <c r="C10" s="311" t="s">
        <v>221</v>
      </c>
      <c r="D10" s="664"/>
    </row>
    <row r="11" spans="1:4" s="120" customFormat="1" ht="24.95" customHeight="1">
      <c r="A11" s="308"/>
      <c r="B11" s="367"/>
      <c r="C11" s="128"/>
      <c r="D11" s="664"/>
    </row>
    <row r="12" spans="1:4" s="120" customFormat="1" ht="14.25" customHeight="1">
      <c r="A12" s="127"/>
      <c r="B12" s="303"/>
      <c r="C12" s="128"/>
      <c r="D12" s="664"/>
    </row>
    <row r="13" spans="1:4" s="120" customFormat="1" ht="24.95" customHeight="1">
      <c r="A13" s="313" t="s">
        <v>227</v>
      </c>
      <c r="B13" s="314" t="str">
        <f>IF(ISNUMBER(B5),ROUND(IF(B5&lt;B9,0,IF(B5&gt;B10,10,5+(10-5)/(B10-B9)*(B5-B9))),0),"")</f>
        <v/>
      </c>
      <c r="C13" s="311"/>
      <c r="D13" s="664"/>
    </row>
    <row r="14" spans="1:4" s="120" customFormat="1" ht="24.95" customHeight="1">
      <c r="A14" s="304"/>
      <c r="B14" s="305"/>
      <c r="C14" s="306"/>
      <c r="D14" s="664"/>
    </row>
    <row r="15" spans="1:4" s="129" customFormat="1" ht="35.450000000000003" customHeight="1" thickBot="1">
      <c r="A15" s="307" t="s">
        <v>272</v>
      </c>
      <c r="B15" s="979" t="str">
        <f>B13</f>
        <v/>
      </c>
      <c r="C15" s="980"/>
      <c r="D15" s="664"/>
    </row>
  </sheetData>
  <sheetProtection algorithmName="SHA-512" hashValue="sSHAibh58Ea1ZhWfJhCs0O9IMg6ff7/98tF0hQrJyzUjwRAgJzlAaBPcK42UnjG+oefXEIa6bW1Fig3jNI3ekQ==" saltValue="Ce98nYLK3rC7q32VSFTDrw==" spinCount="100000" sheet="1" selectLockedCells="1"/>
  <mergeCells count="5">
    <mergeCell ref="A3:C3"/>
    <mergeCell ref="A8:C8"/>
    <mergeCell ref="A1:C1"/>
    <mergeCell ref="B6:C6"/>
    <mergeCell ref="B15:C15"/>
  </mergeCells>
  <printOptions horizontalCentered="1"/>
  <pageMargins left="0.59055118110236227" right="0.59055118110236227" top="0.59055118110236227" bottom="0.59055118110236227" header="0.31496062992125984" footer="0.31496062992125984"/>
  <pageSetup paperSize="9" scale="9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N14"/>
  <sheetViews>
    <sheetView showGridLines="0" zoomScale="115" zoomScaleNormal="115" workbookViewId="0">
      <selection activeCell="L4" sqref="L4"/>
    </sheetView>
  </sheetViews>
  <sheetFormatPr baseColWidth="10" defaultColWidth="11.42578125" defaultRowHeight="12.75"/>
  <cols>
    <col min="1" max="1" width="112" style="93" customWidth="1"/>
    <col min="2" max="2" width="17.7109375" style="93" customWidth="1"/>
    <col min="3" max="3" width="14.5703125" style="93" customWidth="1"/>
    <col min="4" max="6" width="11.42578125" style="93" hidden="1" customWidth="1"/>
    <col min="7" max="7" width="1" style="93" hidden="1" customWidth="1"/>
    <col min="8" max="8" width="30.7109375" style="101" customWidth="1"/>
    <col min="9" max="9" width="11.42578125" style="93"/>
    <col min="10" max="11" width="13.7109375" style="93" customWidth="1"/>
    <col min="12" max="12" width="12.140625" style="93" customWidth="1"/>
    <col min="13" max="16384" width="11.42578125" style="93"/>
  </cols>
  <sheetData>
    <row r="1" spans="1:14" s="131" customFormat="1" ht="24.95" customHeight="1">
      <c r="A1" s="807" t="s">
        <v>256</v>
      </c>
      <c r="B1" s="807"/>
      <c r="C1" s="807"/>
      <c r="D1" s="130"/>
      <c r="E1" s="130"/>
      <c r="F1" s="130"/>
      <c r="G1" s="130"/>
      <c r="H1" s="667"/>
    </row>
    <row r="2" spans="1:14" s="131" customFormat="1" ht="7.5" customHeight="1" thickBot="1">
      <c r="A2" s="130"/>
      <c r="B2" s="130"/>
      <c r="C2" s="130"/>
      <c r="D2" s="130"/>
      <c r="E2" s="130"/>
      <c r="F2" s="130"/>
      <c r="G2" s="130"/>
      <c r="H2" s="667"/>
    </row>
    <row r="3" spans="1:14" ht="32.25" customHeight="1" thickBot="1">
      <c r="A3" s="132" t="s">
        <v>32</v>
      </c>
      <c r="B3" s="347" t="s">
        <v>377</v>
      </c>
      <c r="C3" s="348" t="s">
        <v>35</v>
      </c>
      <c r="H3" s="668" t="s">
        <v>254</v>
      </c>
      <c r="J3" s="985" t="s">
        <v>471</v>
      </c>
      <c r="K3" s="986"/>
      <c r="L3" s="986"/>
      <c r="M3" s="987"/>
    </row>
    <row r="4" spans="1:14" s="96" customFormat="1" ht="30.2" customHeight="1">
      <c r="A4" s="385" t="s">
        <v>395</v>
      </c>
      <c r="B4" s="386"/>
      <c r="C4" s="483"/>
      <c r="D4" s="96">
        <v>0</v>
      </c>
      <c r="H4" s="683"/>
      <c r="J4" s="988" t="s">
        <v>472</v>
      </c>
      <c r="K4" s="989"/>
      <c r="L4" s="534"/>
      <c r="M4" s="535" t="s">
        <v>473</v>
      </c>
    </row>
    <row r="5" spans="1:14" s="96" customFormat="1" ht="30.2" customHeight="1">
      <c r="A5" s="126" t="s">
        <v>470</v>
      </c>
      <c r="B5" s="480">
        <v>20</v>
      </c>
      <c r="C5" s="981"/>
      <c r="D5" s="96">
        <f>B5</f>
        <v>20</v>
      </c>
      <c r="H5" s="682"/>
      <c r="J5" s="990" t="s">
        <v>474</v>
      </c>
      <c r="K5" s="842"/>
      <c r="L5" s="486">
        <f>(450/2860)*L4</f>
        <v>0</v>
      </c>
      <c r="M5" s="484" t="s">
        <v>475</v>
      </c>
    </row>
    <row r="6" spans="1:14" s="96" customFormat="1" ht="30.2" customHeight="1" thickBot="1">
      <c r="A6" s="126" t="s">
        <v>524</v>
      </c>
      <c r="B6" s="480">
        <v>30</v>
      </c>
      <c r="C6" s="982"/>
      <c r="D6" s="96">
        <f>B6</f>
        <v>30</v>
      </c>
      <c r="H6" s="682"/>
      <c r="I6" s="137"/>
      <c r="J6" s="991" t="s">
        <v>501</v>
      </c>
      <c r="K6" s="992"/>
      <c r="L6" s="255">
        <f>L5*0.8</f>
        <v>0</v>
      </c>
      <c r="M6" s="485" t="s">
        <v>475</v>
      </c>
      <c r="N6" s="137"/>
    </row>
    <row r="7" spans="1:14" s="96" customFormat="1" ht="30.2" customHeight="1">
      <c r="A7" s="126" t="s">
        <v>509</v>
      </c>
      <c r="B7" s="480">
        <v>50</v>
      </c>
      <c r="C7" s="982"/>
      <c r="D7" s="96">
        <f>B7</f>
        <v>50</v>
      </c>
      <c r="H7" s="682"/>
      <c r="I7" s="137"/>
      <c r="J7" s="137"/>
      <c r="K7" s="137"/>
      <c r="L7" s="137"/>
      <c r="M7" s="137"/>
      <c r="N7" s="137"/>
    </row>
    <row r="8" spans="1:14" s="137" customFormat="1" ht="30.2" customHeight="1">
      <c r="A8" s="126" t="s">
        <v>510</v>
      </c>
      <c r="B8" s="481">
        <v>65</v>
      </c>
      <c r="C8" s="983"/>
      <c r="D8" s="96">
        <f>B8</f>
        <v>65</v>
      </c>
      <c r="E8" s="96"/>
      <c r="F8" s="96"/>
      <c r="G8" s="96"/>
      <c r="H8" s="682"/>
    </row>
    <row r="9" spans="1:14" s="137" customFormat="1" ht="30.2" customHeight="1">
      <c r="A9" s="385" t="s">
        <v>396</v>
      </c>
      <c r="B9" s="386"/>
      <c r="C9" s="483"/>
      <c r="D9" s="96"/>
      <c r="E9" s="96"/>
      <c r="F9" s="96"/>
      <c r="G9" s="96"/>
      <c r="H9" s="681"/>
    </row>
    <row r="10" spans="1:14" s="137" customFormat="1" ht="30.2" customHeight="1">
      <c r="A10" s="126" t="s">
        <v>419</v>
      </c>
      <c r="B10" s="481">
        <v>10</v>
      </c>
      <c r="C10" s="381"/>
      <c r="D10" s="96">
        <v>0</v>
      </c>
      <c r="E10" s="96"/>
      <c r="F10" s="96"/>
      <c r="G10" s="96"/>
      <c r="H10" s="681"/>
    </row>
    <row r="11" spans="1:14" ht="24.95" customHeight="1" thickBot="1">
      <c r="A11" s="134" t="s">
        <v>33</v>
      </c>
      <c r="B11" s="482" t="s">
        <v>378</v>
      </c>
      <c r="C11" s="136">
        <f>C5+C10</f>
        <v>0</v>
      </c>
      <c r="D11" s="96">
        <v>10</v>
      </c>
      <c r="E11" s="137"/>
      <c r="F11" s="137"/>
      <c r="H11" s="649"/>
    </row>
    <row r="12" spans="1:14">
      <c r="D12" s="96"/>
    </row>
    <row r="14" spans="1:14" ht="51" customHeight="1">
      <c r="A14" s="984" t="s">
        <v>511</v>
      </c>
      <c r="B14" s="984"/>
      <c r="C14" s="984"/>
    </row>
  </sheetData>
  <sheetProtection algorithmName="SHA-512" hashValue="zZS0f6Rd0BsPJMh+aqCJEa9FOwXukSucv5+fc0sEi4RcC/tyeBFBR6grPCMunUiIdABqb5mR2ccXf3gJUUAluA==" saltValue="ESeddmiYyPogk/GZu5faeQ==" spinCount="100000" sheet="1" selectLockedCells="1"/>
  <mergeCells count="7">
    <mergeCell ref="A1:C1"/>
    <mergeCell ref="C5:C8"/>
    <mergeCell ref="A14:C14"/>
    <mergeCell ref="J3:M3"/>
    <mergeCell ref="J4:K4"/>
    <mergeCell ref="J5:K5"/>
    <mergeCell ref="J6:K6"/>
  </mergeCells>
  <phoneticPr fontId="44" type="noConversion"/>
  <dataValidations count="2">
    <dataValidation type="list" allowBlank="1" showInputMessage="1" showErrorMessage="1" sqref="C10">
      <formula1>$D$10:$D$11</formula1>
    </dataValidation>
    <dataValidation type="list" allowBlank="1" showInputMessage="1" showErrorMessage="1" sqref="C5:C8">
      <formula1>$D$4:$D$8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E7"/>
  <sheetViews>
    <sheetView showGridLines="0" workbookViewId="0">
      <selection activeCell="E4" sqref="E4"/>
    </sheetView>
  </sheetViews>
  <sheetFormatPr baseColWidth="10" defaultColWidth="11.42578125" defaultRowHeight="12.75"/>
  <cols>
    <col min="1" max="1" width="64.42578125" style="93" customWidth="1"/>
    <col min="2" max="2" width="15.140625" style="93" customWidth="1"/>
    <col min="3" max="3" width="16" style="93" customWidth="1"/>
    <col min="4" max="4" width="11.42578125" style="93" hidden="1" customWidth="1"/>
    <col min="5" max="5" width="30.7109375" style="101" customWidth="1"/>
    <col min="6" max="16384" width="11.42578125" style="93"/>
  </cols>
  <sheetData>
    <row r="1" spans="1:5" s="131" customFormat="1" ht="24.95" customHeight="1">
      <c r="A1" s="807" t="s">
        <v>384</v>
      </c>
      <c r="B1" s="807"/>
      <c r="C1" s="807"/>
      <c r="D1" s="130"/>
      <c r="E1" s="667"/>
    </row>
    <row r="2" spans="1:5" s="131" customFormat="1" ht="7.5" customHeight="1" thickBot="1">
      <c r="A2" s="130"/>
      <c r="B2" s="130"/>
      <c r="C2" s="130"/>
      <c r="D2" s="130"/>
      <c r="E2" s="667"/>
    </row>
    <row r="3" spans="1:5" ht="32.25" customHeight="1">
      <c r="A3" s="132" t="s">
        <v>32</v>
      </c>
      <c r="B3" s="133" t="s">
        <v>376</v>
      </c>
      <c r="C3" s="349" t="s">
        <v>35</v>
      </c>
      <c r="E3" s="668" t="s">
        <v>254</v>
      </c>
    </row>
    <row r="4" spans="1:5" s="96" customFormat="1" ht="30.2" customHeight="1">
      <c r="A4" s="126" t="s">
        <v>373</v>
      </c>
      <c r="B4" s="237">
        <v>3</v>
      </c>
      <c r="C4" s="826"/>
      <c r="D4" s="96">
        <v>0</v>
      </c>
      <c r="E4" s="682"/>
    </row>
    <row r="5" spans="1:5" s="96" customFormat="1" ht="24.95" customHeight="1">
      <c r="A5" s="238" t="s">
        <v>374</v>
      </c>
      <c r="B5" s="237">
        <v>10</v>
      </c>
      <c r="C5" s="828"/>
      <c r="D5" s="96">
        <v>3</v>
      </c>
      <c r="E5" s="682"/>
    </row>
    <row r="6" spans="1:5" s="96" customFormat="1" ht="24.95" customHeight="1" thickBot="1">
      <c r="A6" s="134" t="s">
        <v>33</v>
      </c>
      <c r="B6" s="135"/>
      <c r="C6" s="136">
        <f>C4</f>
        <v>0</v>
      </c>
      <c r="D6" s="96">
        <v>10</v>
      </c>
      <c r="E6" s="649"/>
    </row>
    <row r="7" spans="1:5" s="96" customFormat="1" ht="64.5" customHeight="1">
      <c r="A7" s="93"/>
      <c r="B7" s="93"/>
      <c r="C7" s="93"/>
      <c r="E7" s="101"/>
    </row>
  </sheetData>
  <sheetProtection algorithmName="SHA-512" hashValue="y0DwA1INW0UAi2Ly3jJW3ubXF1AaI2smJkv5Z67l+OlYgWeho7XAA4rBs0bx6XxpXCOyUXZkyE09Ia+SxOmh9w==" saltValue="1dXqi+hzLAoJJFPXtDGXsw==" spinCount="100000" sheet="1" selectLockedCells="1"/>
  <mergeCells count="2">
    <mergeCell ref="A1:C1"/>
    <mergeCell ref="C4:C5"/>
  </mergeCells>
  <dataValidations count="1">
    <dataValidation type="list" allowBlank="1" showInputMessage="1" showErrorMessage="1" sqref="C4:C5">
      <formula1>$D$4:$D$6</formula1>
    </dataValidation>
  </dataValidations>
  <printOptions horizontalCentered="1"/>
  <pageMargins left="0.59055118110236227" right="0.59055118110236227" top="0.59055118110236227" bottom="0.59055118110236227"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F14"/>
  <sheetViews>
    <sheetView showGridLines="0" workbookViewId="0">
      <selection activeCell="F12" sqref="F5:F12"/>
    </sheetView>
  </sheetViews>
  <sheetFormatPr baseColWidth="10" defaultColWidth="11.42578125" defaultRowHeight="12.75"/>
  <cols>
    <col min="1" max="1" width="11.42578125" style="93"/>
    <col min="2" max="2" width="20.42578125" style="93" customWidth="1"/>
    <col min="3" max="3" width="23.140625" style="93" customWidth="1"/>
    <col min="4" max="4" width="13.7109375" style="93" customWidth="1"/>
    <col min="5" max="5" width="11.42578125" style="93" hidden="1" customWidth="1"/>
    <col min="6" max="6" width="30.7109375" style="101" customWidth="1"/>
    <col min="7" max="16384" width="11.42578125" style="93"/>
  </cols>
  <sheetData>
    <row r="1" spans="1:6" ht="24.95" customHeight="1">
      <c r="A1" s="807" t="s">
        <v>257</v>
      </c>
      <c r="B1" s="807"/>
      <c r="C1" s="807"/>
      <c r="D1" s="807"/>
    </row>
    <row r="2" spans="1:6" ht="7.5" customHeight="1" thickBot="1">
      <c r="A2" s="94"/>
      <c r="B2" s="94"/>
      <c r="C2" s="94"/>
      <c r="D2" s="94"/>
    </row>
    <row r="3" spans="1:6" s="96" customFormat="1" ht="24.95" customHeight="1">
      <c r="A3" s="996" t="s">
        <v>36</v>
      </c>
      <c r="B3" s="997"/>
      <c r="C3" s="997"/>
      <c r="D3" s="240" t="s">
        <v>34</v>
      </c>
      <c r="F3" s="668" t="s">
        <v>254</v>
      </c>
    </row>
    <row r="4" spans="1:6" s="96" customFormat="1" ht="24.95" customHeight="1">
      <c r="A4" s="140" t="s">
        <v>37</v>
      </c>
      <c r="B4" s="141" t="s">
        <v>38</v>
      </c>
      <c r="C4" s="142" t="s">
        <v>39</v>
      </c>
      <c r="D4" s="1001"/>
      <c r="E4" s="96">
        <v>0</v>
      </c>
      <c r="F4" s="682"/>
    </row>
    <row r="5" spans="1:6" s="96" customFormat="1" ht="24.95" customHeight="1">
      <c r="A5" s="140" t="s">
        <v>40</v>
      </c>
      <c r="B5" s="141" t="s">
        <v>41</v>
      </c>
      <c r="C5" s="142" t="s">
        <v>42</v>
      </c>
      <c r="D5" s="1002"/>
      <c r="E5" s="96">
        <v>20</v>
      </c>
      <c r="F5" s="682"/>
    </row>
    <row r="6" spans="1:6" s="96" customFormat="1" ht="24.95" customHeight="1">
      <c r="A6" s="140" t="s">
        <v>43</v>
      </c>
      <c r="B6" s="141" t="s">
        <v>44</v>
      </c>
      <c r="C6" s="142" t="s">
        <v>45</v>
      </c>
      <c r="D6" s="1002"/>
      <c r="E6" s="96">
        <v>35</v>
      </c>
      <c r="F6" s="682"/>
    </row>
    <row r="7" spans="1:6" s="96" customFormat="1" ht="30.95" customHeight="1">
      <c r="A7" s="140" t="s">
        <v>46</v>
      </c>
      <c r="B7" s="141" t="s">
        <v>47</v>
      </c>
      <c r="C7" s="142" t="s">
        <v>48</v>
      </c>
      <c r="D7" s="1002"/>
      <c r="E7" s="96">
        <v>50</v>
      </c>
      <c r="F7" s="682"/>
    </row>
    <row r="8" spans="1:6" s="96" customFormat="1" ht="24.95" customHeight="1">
      <c r="A8" s="143"/>
      <c r="B8" s="141" t="s">
        <v>49</v>
      </c>
      <c r="C8" s="142" t="s">
        <v>50</v>
      </c>
      <c r="D8" s="1003"/>
      <c r="F8" s="682"/>
    </row>
    <row r="9" spans="1:6" s="96" customFormat="1" ht="24.95" customHeight="1">
      <c r="A9" s="998" t="s">
        <v>51</v>
      </c>
      <c r="B9" s="999"/>
      <c r="C9" s="1000"/>
      <c r="D9" s="532"/>
      <c r="F9" s="682"/>
    </row>
    <row r="10" spans="1:6" s="96" customFormat="1" ht="24.95" customHeight="1">
      <c r="A10" s="140" t="s">
        <v>37</v>
      </c>
      <c r="B10" s="141" t="s">
        <v>52</v>
      </c>
      <c r="C10" s="142" t="s">
        <v>45</v>
      </c>
      <c r="D10" s="827"/>
      <c r="E10" s="96">
        <v>0</v>
      </c>
      <c r="F10" s="682"/>
    </row>
    <row r="11" spans="1:6" s="96" customFormat="1" ht="24.95" customHeight="1">
      <c r="A11" s="140" t="s">
        <v>40</v>
      </c>
      <c r="B11" s="141" t="s">
        <v>53</v>
      </c>
      <c r="C11" s="142" t="s">
        <v>55</v>
      </c>
      <c r="D11" s="827"/>
      <c r="E11" s="96">
        <v>5</v>
      </c>
      <c r="F11" s="682"/>
    </row>
    <row r="12" spans="1:6" s="96" customFormat="1" ht="24.95" customHeight="1">
      <c r="A12" s="140" t="s">
        <v>43</v>
      </c>
      <c r="B12" s="141" t="s">
        <v>54</v>
      </c>
      <c r="C12" s="142" t="s">
        <v>60</v>
      </c>
      <c r="D12" s="827"/>
      <c r="E12" s="96">
        <v>10</v>
      </c>
      <c r="F12" s="682"/>
    </row>
    <row r="13" spans="1:6" s="96" customFormat="1" ht="32.450000000000003" customHeight="1">
      <c r="A13" s="144" t="s">
        <v>46</v>
      </c>
      <c r="B13" s="145" t="s">
        <v>56</v>
      </c>
      <c r="C13" s="146" t="s">
        <v>48</v>
      </c>
      <c r="D13" s="828"/>
      <c r="E13" s="96">
        <v>20</v>
      </c>
      <c r="F13" s="682"/>
    </row>
    <row r="14" spans="1:6" s="99" customFormat="1" ht="24.95" customHeight="1" thickBot="1">
      <c r="A14" s="993" t="s">
        <v>33</v>
      </c>
      <c r="B14" s="994"/>
      <c r="C14" s="995"/>
      <c r="D14" s="136">
        <f>IF(SUM(D4:D13)&lt;70,SUM(D4:D13),70)</f>
        <v>0</v>
      </c>
      <c r="F14" s="649"/>
    </row>
  </sheetData>
  <sheetProtection algorithmName="SHA-512" hashValue="lY+BTclAIi+aVwnXmO8SMgVh6HWYdxmQxf5zilon4iIbxuvW5EFKQEEHPbUr5JSUhNwy1mw6RBbPpyznWjC3EQ==" saltValue="ny3wBbymxEj5oA9RBatRAg==" spinCount="100000" sheet="1" selectLockedCells="1"/>
  <mergeCells count="6">
    <mergeCell ref="A14:C14"/>
    <mergeCell ref="A3:C3"/>
    <mergeCell ref="A9:C9"/>
    <mergeCell ref="A1:D1"/>
    <mergeCell ref="D4:D8"/>
    <mergeCell ref="D10:D13"/>
  </mergeCells>
  <phoneticPr fontId="44" type="noConversion"/>
  <dataValidations count="2">
    <dataValidation type="list" allowBlank="1" showInputMessage="1" showErrorMessage="1" errorTitle="Falscher Wert!" error="Bitte geben Sie die Zahl 0,20,35 oder 50 ein." sqref="D4">
      <formula1>$E$4:$E$7</formula1>
    </dataValidation>
    <dataValidation type="list" allowBlank="1" showInputMessage="1" showErrorMessage="1" errorTitle="Falscher Wert!" error="Bitte geben Sie die Zahl 0,10,20 oder 30 ein." sqref="D10:D13">
      <formula1>$E$10:$E$13</formula1>
    </dataValidation>
  </dataValidations>
  <printOptions horizontalCentered="1"/>
  <pageMargins left="0.59055118110236227" right="0.59055118110236227" top="0.59055118110236227" bottom="0.59055118110236227" header="0.31496062992125984" footer="0.31496062992125984"/>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I21"/>
  <sheetViews>
    <sheetView showGridLines="0" zoomScale="85" zoomScaleNormal="85" workbookViewId="0">
      <selection activeCell="F4" sqref="F4"/>
    </sheetView>
  </sheetViews>
  <sheetFormatPr baseColWidth="10" defaultColWidth="11.42578125" defaultRowHeight="12.75"/>
  <cols>
    <col min="1" max="1" width="29.7109375" style="152" customWidth="1"/>
    <col min="2" max="2" width="88.42578125" style="152" customWidth="1"/>
    <col min="3" max="3" width="11.42578125" style="153"/>
    <col min="4" max="4" width="11.7109375" style="152" customWidth="1"/>
    <col min="5" max="5" width="1" style="152" hidden="1" customWidth="1"/>
    <col min="6" max="6" width="30.7109375" style="101" customWidth="1"/>
    <col min="7" max="16384" width="11.42578125" style="152"/>
  </cols>
  <sheetData>
    <row r="1" spans="1:9" s="139" customFormat="1" ht="24.95" customHeight="1">
      <c r="A1" s="807" t="s">
        <v>559</v>
      </c>
      <c r="B1" s="1014"/>
      <c r="C1" s="1014"/>
      <c r="D1" s="1014"/>
      <c r="E1" s="323"/>
      <c r="F1" s="101"/>
    </row>
    <row r="2" spans="1:9" s="138" customFormat="1" ht="7.5" customHeight="1" thickBot="1">
      <c r="A2" s="375"/>
      <c r="B2" s="299"/>
      <c r="C2" s="95"/>
      <c r="D2" s="95"/>
      <c r="E2" s="147"/>
      <c r="F2" s="101"/>
    </row>
    <row r="3" spans="1:9" s="138" customFormat="1" ht="38.25">
      <c r="A3" s="1021" t="s">
        <v>32</v>
      </c>
      <c r="B3" s="1022"/>
      <c r="C3" s="148" t="s">
        <v>540</v>
      </c>
      <c r="D3" s="149" t="s">
        <v>34</v>
      </c>
      <c r="F3" s="668" t="s">
        <v>254</v>
      </c>
    </row>
    <row r="4" spans="1:9" s="138" customFormat="1" ht="24.95" customHeight="1">
      <c r="A4" s="1023" t="s">
        <v>25</v>
      </c>
      <c r="B4" s="246" t="s">
        <v>370</v>
      </c>
      <c r="C4" s="1015" t="s">
        <v>375</v>
      </c>
      <c r="D4" s="1016"/>
      <c r="F4" s="702"/>
    </row>
    <row r="5" spans="1:9" s="138" customFormat="1" ht="24.95" customHeight="1">
      <c r="A5" s="1024"/>
      <c r="B5" s="245" t="s">
        <v>63</v>
      </c>
      <c r="C5" s="1015"/>
      <c r="D5" s="1017"/>
      <c r="F5" s="706"/>
      <c r="I5" s="150" t="s">
        <v>57</v>
      </c>
    </row>
    <row r="6" spans="1:9" s="138" customFormat="1" ht="24.95" customHeight="1">
      <c r="A6" s="1024"/>
      <c r="B6" s="245" t="s">
        <v>418</v>
      </c>
      <c r="C6" s="1015"/>
      <c r="D6" s="1017"/>
      <c r="F6" s="706"/>
    </row>
    <row r="7" spans="1:9" s="138" customFormat="1" ht="24.95" customHeight="1">
      <c r="A7" s="1024"/>
      <c r="B7" s="644" t="s">
        <v>552</v>
      </c>
      <c r="C7" s="1015"/>
      <c r="D7" s="1018"/>
      <c r="F7" s="707"/>
    </row>
    <row r="8" spans="1:9" s="138" customFormat="1" ht="24.95" customHeight="1">
      <c r="A8" s="1024"/>
      <c r="B8" s="246" t="s">
        <v>58</v>
      </c>
      <c r="C8" s="1015">
        <v>10</v>
      </c>
      <c r="D8" s="1019"/>
      <c r="E8" s="138">
        <v>0</v>
      </c>
      <c r="F8" s="702"/>
    </row>
    <row r="9" spans="1:9" s="138" customFormat="1" ht="24.95" customHeight="1">
      <c r="A9" s="1024"/>
      <c r="B9" s="242" t="s">
        <v>59</v>
      </c>
      <c r="C9" s="1015"/>
      <c r="D9" s="1020"/>
      <c r="E9" s="138">
        <v>10</v>
      </c>
      <c r="F9" s="707"/>
    </row>
    <row r="10" spans="1:9" s="138" customFormat="1" ht="24.95" customHeight="1">
      <c r="A10" s="1024"/>
      <c r="B10" s="246" t="s">
        <v>371</v>
      </c>
      <c r="C10" s="247"/>
      <c r="D10" s="249"/>
      <c r="E10" s="138">
        <v>0</v>
      </c>
      <c r="F10" s="702"/>
    </row>
    <row r="11" spans="1:9" s="138" customFormat="1" ht="24.95" customHeight="1">
      <c r="A11" s="1024"/>
      <c r="B11" s="242" t="s">
        <v>382</v>
      </c>
      <c r="C11" s="322">
        <v>5</v>
      </c>
      <c r="D11" s="244"/>
      <c r="E11" s="138">
        <v>5</v>
      </c>
      <c r="F11" s="681"/>
    </row>
    <row r="12" spans="1:9" s="138" customFormat="1" ht="24.95" customHeight="1" thickBot="1">
      <c r="A12" s="1025"/>
      <c r="B12" s="376" t="s">
        <v>381</v>
      </c>
      <c r="C12" s="243">
        <v>5</v>
      </c>
      <c r="D12" s="4"/>
      <c r="E12" s="138">
        <v>0</v>
      </c>
      <c r="F12" s="681"/>
    </row>
    <row r="13" spans="1:9" s="138" customFormat="1" ht="24.95" customHeight="1">
      <c r="A13" s="1004" t="s">
        <v>537</v>
      </c>
      <c r="B13" s="1006" t="s">
        <v>538</v>
      </c>
      <c r="C13" s="1008">
        <v>5</v>
      </c>
      <c r="D13" s="1010"/>
      <c r="E13" s="621">
        <v>0</v>
      </c>
      <c r="F13" s="703"/>
    </row>
    <row r="14" spans="1:9" s="138" customFormat="1" ht="24.95" customHeight="1" thickBot="1">
      <c r="A14" s="1005"/>
      <c r="B14" s="1007"/>
      <c r="C14" s="1009"/>
      <c r="D14" s="1011"/>
      <c r="E14" s="621">
        <v>5</v>
      </c>
      <c r="F14" s="703"/>
    </row>
    <row r="15" spans="1:9" s="138" customFormat="1" ht="24.95" customHeight="1">
      <c r="A15" s="1012" t="s">
        <v>539</v>
      </c>
      <c r="B15" s="1026" t="s">
        <v>589</v>
      </c>
      <c r="C15" s="1028">
        <v>10</v>
      </c>
      <c r="D15" s="1010"/>
      <c r="E15" s="621">
        <v>0</v>
      </c>
      <c r="F15" s="703"/>
    </row>
    <row r="16" spans="1:9" s="138" customFormat="1" ht="19.5" customHeight="1" thickBot="1">
      <c r="A16" s="1013"/>
      <c r="B16" s="1027"/>
      <c r="C16" s="1029"/>
      <c r="D16" s="1011"/>
      <c r="E16" s="620">
        <v>10</v>
      </c>
      <c r="F16" s="703"/>
    </row>
    <row r="17" spans="1:6" s="138" customFormat="1" ht="38.25">
      <c r="A17" s="1023" t="s">
        <v>388</v>
      </c>
      <c r="B17" s="378" t="s">
        <v>389</v>
      </c>
      <c r="C17" s="374">
        <v>5</v>
      </c>
      <c r="D17" s="4"/>
      <c r="E17" s="138">
        <v>5</v>
      </c>
      <c r="F17" s="681"/>
    </row>
    <row r="18" spans="1:6" s="138" customFormat="1" ht="38.25">
      <c r="A18" s="1032"/>
      <c r="B18" s="378" t="s">
        <v>391</v>
      </c>
      <c r="C18" s="374">
        <v>5</v>
      </c>
      <c r="D18" s="380"/>
      <c r="E18" s="138">
        <v>0</v>
      </c>
      <c r="F18" s="708"/>
    </row>
    <row r="19" spans="1:6" s="138" customFormat="1" ht="24.95" customHeight="1">
      <c r="A19" s="1032"/>
      <c r="B19" s="379" t="s">
        <v>390</v>
      </c>
      <c r="C19" s="374">
        <v>3</v>
      </c>
      <c r="D19" s="4"/>
      <c r="E19" s="138">
        <v>3</v>
      </c>
      <c r="F19" s="681"/>
    </row>
    <row r="20" spans="1:6" s="138" customFormat="1" ht="24.95" customHeight="1">
      <c r="A20" s="1033"/>
      <c r="B20" s="643" t="s">
        <v>536</v>
      </c>
      <c r="C20" s="374">
        <v>3</v>
      </c>
      <c r="D20" s="377"/>
      <c r="F20" s="681"/>
    </row>
    <row r="21" spans="1:6" s="151" customFormat="1" ht="24.95" customHeight="1" thickBot="1">
      <c r="A21" s="1030" t="s">
        <v>33</v>
      </c>
      <c r="B21" s="1031"/>
      <c r="C21" s="248"/>
      <c r="D21" s="279">
        <f>IF(SUM(D4:D20)&lt;45, SUM(D4:D20),45)</f>
        <v>0</v>
      </c>
      <c r="F21" s="669"/>
    </row>
  </sheetData>
  <sheetProtection algorithmName="SHA-512" hashValue="tFUkI5OwgrBIhrQUzNd/O0ju1Z4nHZY1r7Ih7qVT0Tx1PlJPGxgQe0nUSAZaulqUdmoTmTE6d8dBfIfQlZMCZg==" saltValue="41eG4ey9mmauBy3puSndvg==" spinCount="100000" sheet="1" selectLockedCells="1"/>
  <mergeCells count="17">
    <mergeCell ref="A21:B21"/>
    <mergeCell ref="A17:A20"/>
    <mergeCell ref="A1:D1"/>
    <mergeCell ref="C4:C7"/>
    <mergeCell ref="D4:D7"/>
    <mergeCell ref="C8:C9"/>
    <mergeCell ref="D8:D9"/>
    <mergeCell ref="A3:B3"/>
    <mergeCell ref="A4:A12"/>
    <mergeCell ref="A13:A14"/>
    <mergeCell ref="B13:B14"/>
    <mergeCell ref="C13:C14"/>
    <mergeCell ref="D13:D14"/>
    <mergeCell ref="A15:A16"/>
    <mergeCell ref="B15:B16"/>
    <mergeCell ref="C15:C16"/>
    <mergeCell ref="D15:D16"/>
  </mergeCells>
  <phoneticPr fontId="44" type="noConversion"/>
  <dataValidations count="8">
    <dataValidation allowBlank="1" showInputMessage="1" showErrorMessage="1" errorTitle="Falscher Wert!" error="Bitte geben Sie die Zahl 0 ein." sqref="D4:D7"/>
    <dataValidation type="list" allowBlank="1" showInputMessage="1" showErrorMessage="1" errorTitle="Falscher Wert!" error="Bitte geben Sie die Zahl 0 oder 20 ein." sqref="D8:D9">
      <formula1>$E$8:$E$9</formula1>
    </dataValidation>
    <dataValidation allowBlank="1" showInputMessage="1" showErrorMessage="1" errorTitle="Falscher Wert!" error="Bitte geben Sie die Zahl 0,5 oder 10 ein." sqref="D10"/>
    <dataValidation type="list" allowBlank="1" showInputMessage="1" showErrorMessage="1" errorTitle="Falscher Wert!" error="Bitte geben Sie die Zahl 0 oder 10 ein." sqref="D11">
      <formula1>$E$10:$E$11</formula1>
    </dataValidation>
    <dataValidation type="list" allowBlank="1" showInputMessage="1" showErrorMessage="1" errorTitle="Falscher Wert!" error="Bitte geben Sie die Zahl 0 oder 5 ein." sqref="D19:D20">
      <formula1>$E$18:$E$19</formula1>
    </dataValidation>
    <dataValidation type="list" allowBlank="1" showInputMessage="1" showErrorMessage="1" errorTitle="Falscher Wert!" error="Bitte geben Sie die Zahl 0 oder 5 ein." sqref="D18">
      <formula1>$E$10:$E$11</formula1>
    </dataValidation>
    <dataValidation type="list" allowBlank="1" showInputMessage="1" showErrorMessage="1" errorTitle="Falscher Wert!" error="Bitte geben Sie die Zahl 0 oder 5 ein." sqref="D15:D16">
      <formula1>$E$15:$E$16</formula1>
    </dataValidation>
    <dataValidation type="list" allowBlank="1" showInputMessage="1" showErrorMessage="1" errorTitle="Falscher Wert!" error="Bitte geben Sie die Zahl 0 oder 5 ein." sqref="D13:D14 D12 D17">
      <formula1>$E$13:$E$14</formula1>
    </dataValidation>
  </dataValidations>
  <printOptions horizontalCentered="1"/>
  <pageMargins left="0.59055118110236227" right="0.59055118110236227" top="0.59055118110236227" bottom="0.59055118110236227" header="0.31496062992125984" footer="0.31496062992125984"/>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outlinePr summaryRight="0"/>
    <pageSetUpPr fitToPage="1"/>
  </sheetPr>
  <dimension ref="B1:AR59"/>
  <sheetViews>
    <sheetView showGridLines="0" topLeftCell="A16" zoomScale="85" zoomScaleNormal="85" workbookViewId="0">
      <selection activeCell="E45" sqref="E45"/>
    </sheetView>
  </sheetViews>
  <sheetFormatPr baseColWidth="10" defaultColWidth="11.42578125" defaultRowHeight="12.75" outlineLevelCol="1"/>
  <cols>
    <col min="1" max="1" width="1.7109375" style="23" customWidth="1"/>
    <col min="2" max="2" width="15.28515625" style="25" customWidth="1"/>
    <col min="3" max="3" width="6.7109375" style="26" customWidth="1"/>
    <col min="4" max="4" width="5.28515625" style="30" customWidth="1"/>
    <col min="5" max="5" width="68.5703125" style="28" customWidth="1"/>
    <col min="6" max="6" width="15.85546875" style="25" customWidth="1"/>
    <col min="7" max="7" width="13.7109375" style="235" customWidth="1"/>
    <col min="8" max="8" width="10.85546875" style="28" hidden="1" customWidth="1"/>
    <col min="9" max="9" width="6.140625" style="28" hidden="1" customWidth="1"/>
    <col min="10" max="10" width="3.7109375" style="28" customWidth="1" collapsed="1"/>
    <col min="11" max="11" width="3.7109375" style="28" hidden="1" customWidth="1" outlineLevel="1"/>
    <col min="12" max="12" width="42" style="28" hidden="1" customWidth="1" outlineLevel="1"/>
    <col min="13" max="13" width="27.7109375" style="28" hidden="1" customWidth="1" outlineLevel="1"/>
    <col min="14" max="14" width="3.7109375" style="28" hidden="1" customWidth="1" outlineLevel="1"/>
    <col min="15" max="15" width="3.7109375" style="28" customWidth="1" collapsed="1"/>
    <col min="16" max="16" width="3.7109375" style="28" hidden="1" customWidth="1" outlineLevel="1"/>
    <col min="17" max="17" width="11.28515625" style="28" hidden="1" customWidth="1" outlineLevel="1"/>
    <col min="18" max="18" width="46.5703125" style="23" hidden="1" customWidth="1" outlineLevel="1"/>
    <col min="19" max="19" width="3.7109375" style="23" hidden="1" customWidth="1" outlineLevel="1"/>
    <col min="20" max="20" width="3.7109375" style="28" customWidth="1" collapsed="1"/>
    <col min="21" max="21" width="3.7109375" style="28" hidden="1" customWidth="1" outlineLevel="1"/>
    <col min="22" max="22" width="11.28515625" style="28" hidden="1" customWidth="1" outlineLevel="1"/>
    <col min="23" max="23" width="46.5703125" style="23" hidden="1" customWidth="1" outlineLevel="1"/>
    <col min="24" max="24" width="3.7109375" style="23" hidden="1" customWidth="1" outlineLevel="1"/>
    <col min="25" max="25" width="3.7109375" style="28" customWidth="1" collapsed="1"/>
    <col min="26" max="26" width="3.7109375" style="28" hidden="1" customWidth="1" outlineLevel="1"/>
    <col min="27" max="27" width="11.28515625" style="28" hidden="1" customWidth="1" outlineLevel="1"/>
    <col min="28" max="28" width="46.5703125" style="23" hidden="1" customWidth="1" outlineLevel="1"/>
    <col min="29" max="29" width="3.7109375" style="23" hidden="1" customWidth="1" outlineLevel="1"/>
    <col min="30" max="30" width="3.7109375" style="23" customWidth="1" collapsed="1"/>
    <col min="31" max="31" width="3.7109375" style="28" hidden="1" customWidth="1" outlineLevel="1"/>
    <col min="32" max="32" width="11.28515625" style="28" hidden="1" customWidth="1" outlineLevel="1"/>
    <col min="33" max="33" width="46.5703125" style="23" hidden="1" customWidth="1" outlineLevel="1"/>
    <col min="34" max="34" width="3.7109375" style="23" hidden="1" customWidth="1" outlineLevel="1"/>
    <col min="35" max="35" width="3.7109375" style="23" customWidth="1" collapsed="1"/>
    <col min="36" max="36" width="3.7109375" style="28" hidden="1" customWidth="1" outlineLevel="1"/>
    <col min="37" max="37" width="11.28515625" style="28" hidden="1" customWidth="1" outlineLevel="1"/>
    <col min="38" max="38" width="46.5703125" style="23" hidden="1" customWidth="1" outlineLevel="1"/>
    <col min="39" max="39" width="3.7109375" style="23" hidden="1" customWidth="1" outlineLevel="1"/>
    <col min="40" max="40" width="3.7109375" style="23" customWidth="1" collapsed="1"/>
    <col min="41" max="41" width="3.7109375" style="28" hidden="1" customWidth="1" outlineLevel="1"/>
    <col min="42" max="42" width="11.28515625" style="28" hidden="1" customWidth="1" outlineLevel="1"/>
    <col min="43" max="43" width="46.5703125" style="23" hidden="1" customWidth="1" outlineLevel="1"/>
    <col min="44" max="44" width="3.7109375" style="23" hidden="1" customWidth="1" outlineLevel="1"/>
    <col min="45" max="45" width="3.7109375" style="23" customWidth="1"/>
    <col min="46" max="16384" width="11.42578125" style="23"/>
  </cols>
  <sheetData>
    <row r="1" spans="2:44" ht="131.25" customHeight="1">
      <c r="B1" s="789" t="s">
        <v>560</v>
      </c>
      <c r="C1" s="790"/>
      <c r="D1" s="790"/>
      <c r="E1" s="790"/>
      <c r="F1" s="790"/>
      <c r="G1" s="790"/>
      <c r="O1" s="189">
        <f>R8</f>
        <v>0</v>
      </c>
      <c r="T1" s="189">
        <f>W8</f>
        <v>0</v>
      </c>
      <c r="Y1" s="189">
        <f>AB8</f>
        <v>0</v>
      </c>
      <c r="AD1" s="189">
        <f>AG8</f>
        <v>0</v>
      </c>
      <c r="AI1" s="189">
        <f>AL8</f>
        <v>0</v>
      </c>
      <c r="AN1" s="189">
        <f>AQ8</f>
        <v>0</v>
      </c>
      <c r="AO1" s="23"/>
      <c r="AP1" s="23"/>
    </row>
    <row r="2" spans="2:44" ht="16.5" customHeight="1" thickBot="1">
      <c r="B2" s="235"/>
      <c r="C2" s="200"/>
      <c r="D2" s="27"/>
      <c r="E2" s="317"/>
      <c r="F2" s="318"/>
      <c r="G2" s="318"/>
      <c r="O2" s="189"/>
      <c r="T2" s="189"/>
      <c r="Y2" s="189"/>
      <c r="AD2" s="189"/>
      <c r="AI2" s="189"/>
      <c r="AN2" s="189"/>
      <c r="AO2" s="23"/>
      <c r="AP2" s="23"/>
    </row>
    <row r="3" spans="2:44" ht="30.2" customHeight="1" thickBot="1">
      <c r="B3" s="184" t="s">
        <v>64</v>
      </c>
      <c r="C3" s="801"/>
      <c r="D3" s="802"/>
      <c r="E3" s="802"/>
      <c r="F3" s="802"/>
      <c r="G3" s="803"/>
      <c r="J3" s="788"/>
      <c r="K3" s="788"/>
      <c r="L3" s="788"/>
      <c r="M3" s="788"/>
      <c r="O3" s="785" t="s">
        <v>261</v>
      </c>
      <c r="T3" s="785" t="s">
        <v>262</v>
      </c>
      <c r="Y3" s="785" t="s">
        <v>263</v>
      </c>
      <c r="AD3" s="785" t="s">
        <v>264</v>
      </c>
      <c r="AI3" s="785" t="s">
        <v>265</v>
      </c>
      <c r="AN3" s="785" t="s">
        <v>266</v>
      </c>
      <c r="AO3" s="23"/>
      <c r="AP3" s="23"/>
    </row>
    <row r="4" spans="2:44" ht="30.2" customHeight="1" thickBot="1">
      <c r="B4" s="29"/>
      <c r="C4" s="179"/>
      <c r="D4" s="179"/>
      <c r="E4" s="180"/>
      <c r="F4" s="180"/>
      <c r="G4" s="180"/>
      <c r="J4" s="788"/>
      <c r="K4" s="788"/>
      <c r="L4" s="788"/>
      <c r="M4" s="788"/>
      <c r="O4" s="785"/>
      <c r="T4" s="785"/>
      <c r="Y4" s="785"/>
      <c r="AD4" s="785"/>
      <c r="AI4" s="785"/>
      <c r="AN4" s="785"/>
      <c r="AO4" s="23"/>
      <c r="AP4" s="23"/>
    </row>
    <row r="5" spans="2:44" ht="43.5" customHeight="1" thickBot="1">
      <c r="B5" s="804" t="s">
        <v>339</v>
      </c>
      <c r="C5" s="805"/>
      <c r="D5" s="806"/>
      <c r="E5" s="236" t="s">
        <v>328</v>
      </c>
      <c r="F5" s="92"/>
      <c r="G5" s="92"/>
      <c r="J5" s="788"/>
      <c r="K5" s="788"/>
      <c r="L5" s="788"/>
      <c r="M5" s="788"/>
      <c r="O5" s="190"/>
      <c r="T5" s="190"/>
      <c r="Y5" s="190"/>
      <c r="AD5" s="190"/>
      <c r="AI5" s="190"/>
      <c r="AN5" s="190"/>
      <c r="AO5" s="23"/>
      <c r="AP5" s="23"/>
    </row>
    <row r="6" spans="2:44" ht="18.75" customHeight="1">
      <c r="B6" s="181"/>
      <c r="C6" s="181"/>
      <c r="D6" s="181"/>
      <c r="E6" s="92"/>
      <c r="F6" s="179"/>
      <c r="G6" s="179"/>
      <c r="J6" s="788"/>
      <c r="K6" s="788"/>
      <c r="L6" s="788"/>
      <c r="M6" s="788"/>
      <c r="O6" s="190"/>
      <c r="T6" s="190"/>
      <c r="Y6" s="190"/>
      <c r="AD6" s="190"/>
      <c r="AI6" s="190"/>
      <c r="AN6" s="190"/>
      <c r="AO6" s="23"/>
      <c r="AP6" s="23"/>
    </row>
    <row r="7" spans="2:44" ht="18.75" customHeight="1" thickBot="1">
      <c r="B7" s="235"/>
      <c r="C7" s="200"/>
      <c r="D7" s="324"/>
      <c r="E7" s="786"/>
      <c r="F7" s="787"/>
      <c r="G7" s="787"/>
      <c r="J7" s="788"/>
      <c r="K7" s="788"/>
      <c r="L7" s="788"/>
      <c r="M7" s="788"/>
      <c r="O7" s="191"/>
      <c r="T7" s="192"/>
      <c r="Y7" s="192"/>
      <c r="AD7"/>
      <c r="AI7"/>
      <c r="AN7"/>
      <c r="AO7" s="23"/>
      <c r="AP7" s="23"/>
    </row>
    <row r="8" spans="2:44" ht="42" customHeight="1" thickBot="1">
      <c r="B8" s="31"/>
      <c r="C8" s="200"/>
      <c r="D8" s="87"/>
      <c r="E8" s="88" t="s">
        <v>10</v>
      </c>
      <c r="F8" s="799">
        <f>IF((G11+G21+G38+G45)&lt;1000,(G11+G21+G38+G45),1000)</f>
        <v>0</v>
      </c>
      <c r="G8" s="800">
        <f>IF(SUM(G9:G14)&lt;225,SUM(G9:G14),225)</f>
        <v>0</v>
      </c>
      <c r="Q8" s="193" t="s">
        <v>260</v>
      </c>
      <c r="R8" s="194"/>
      <c r="S8" s="195"/>
      <c r="V8" s="193" t="s">
        <v>260</v>
      </c>
      <c r="W8" s="194"/>
      <c r="X8" s="195"/>
      <c r="AA8" s="193" t="s">
        <v>260</v>
      </c>
      <c r="AB8" s="194"/>
      <c r="AC8" s="195"/>
      <c r="AF8" s="193" t="s">
        <v>260</v>
      </c>
      <c r="AG8" s="194"/>
      <c r="AH8" s="195"/>
      <c r="AK8" s="193" t="s">
        <v>260</v>
      </c>
      <c r="AL8" s="194"/>
      <c r="AM8" s="195"/>
      <c r="AP8" s="193" t="s">
        <v>260</v>
      </c>
      <c r="AQ8" s="194"/>
    </row>
    <row r="9" spans="2:44" ht="31.7" customHeight="1">
      <c r="B9" s="791" t="s">
        <v>4</v>
      </c>
      <c r="C9" s="792"/>
      <c r="D9" s="793"/>
      <c r="E9" s="797" t="s">
        <v>5</v>
      </c>
      <c r="F9" s="316" t="s">
        <v>17</v>
      </c>
      <c r="G9" s="264" t="s">
        <v>28</v>
      </c>
      <c r="I9" s="263"/>
      <c r="P9" s="196"/>
      <c r="Q9" s="197" t="s">
        <v>6</v>
      </c>
      <c r="R9" s="722" t="s">
        <v>254</v>
      </c>
      <c r="S9" s="60"/>
      <c r="U9" s="196"/>
      <c r="V9" s="37" t="s">
        <v>6</v>
      </c>
      <c r="W9" s="716" t="s">
        <v>254</v>
      </c>
      <c r="X9" s="60"/>
      <c r="Z9" s="196"/>
      <c r="AA9" s="37" t="s">
        <v>6</v>
      </c>
      <c r="AB9" s="716" t="s">
        <v>254</v>
      </c>
      <c r="AC9" s="60"/>
      <c r="AE9" s="196"/>
      <c r="AF9" s="37" t="s">
        <v>6</v>
      </c>
      <c r="AG9" s="716" t="s">
        <v>254</v>
      </c>
      <c r="AH9" s="60"/>
      <c r="AJ9" s="196"/>
      <c r="AK9" s="37" t="s">
        <v>6</v>
      </c>
      <c r="AL9" s="716" t="s">
        <v>254</v>
      </c>
      <c r="AM9" s="60"/>
      <c r="AO9" s="196"/>
      <c r="AP9" s="37" t="s">
        <v>6</v>
      </c>
      <c r="AQ9" s="716" t="s">
        <v>254</v>
      </c>
    </row>
    <row r="10" spans="2:44" ht="4.7" customHeight="1" thickBot="1">
      <c r="B10" s="794"/>
      <c r="C10" s="795"/>
      <c r="D10" s="796"/>
      <c r="E10" s="798"/>
      <c r="F10" s="316"/>
      <c r="G10" s="265"/>
      <c r="Q10" s="199"/>
      <c r="V10" s="199"/>
      <c r="AA10" s="199"/>
      <c r="AF10" s="199"/>
      <c r="AK10" s="199"/>
      <c r="AP10" s="199"/>
    </row>
    <row r="11" spans="2:44" s="32" customFormat="1" ht="30.2" customHeight="1">
      <c r="B11" s="173" t="s">
        <v>12</v>
      </c>
      <c r="C11" s="174"/>
      <c r="D11" s="175"/>
      <c r="E11" s="176" t="s">
        <v>18</v>
      </c>
      <c r="F11" s="325">
        <v>290</v>
      </c>
      <c r="G11" s="177">
        <f>IF(SUM(G12:G19)&lt;290,SUM(G12:G19),290)</f>
        <v>0</v>
      </c>
      <c r="H11" s="33"/>
      <c r="I11" s="33"/>
      <c r="J11" s="33"/>
      <c r="K11" s="34"/>
      <c r="L11" s="35"/>
      <c r="M11" s="36" t="s">
        <v>225</v>
      </c>
      <c r="N11" s="200"/>
      <c r="O11" s="200"/>
      <c r="P11" s="200"/>
      <c r="Q11" s="201"/>
      <c r="R11" s="202"/>
      <c r="T11" s="33"/>
      <c r="U11" s="203"/>
      <c r="V11" s="726"/>
      <c r="W11" s="727"/>
      <c r="Y11" s="33"/>
      <c r="Z11" s="203"/>
      <c r="AA11" s="201"/>
      <c r="AB11" s="202"/>
      <c r="AE11" s="203"/>
      <c r="AF11" s="201"/>
      <c r="AG11" s="202"/>
      <c r="AJ11" s="203"/>
      <c r="AK11" s="201"/>
      <c r="AL11" s="202"/>
      <c r="AO11" s="203"/>
      <c r="AP11" s="201"/>
      <c r="AQ11" s="202"/>
    </row>
    <row r="12" spans="2:44" s="60" customFormat="1" ht="30.75" customHeight="1" thickBot="1">
      <c r="B12" s="470" t="s">
        <v>12</v>
      </c>
      <c r="C12" s="471">
        <v>1</v>
      </c>
      <c r="D12" s="472">
        <v>1</v>
      </c>
      <c r="E12" s="468" t="s">
        <v>544</v>
      </c>
      <c r="F12" s="466">
        <v>50</v>
      </c>
      <c r="G12" s="619">
        <v>0</v>
      </c>
      <c r="H12" s="60">
        <v>0</v>
      </c>
      <c r="K12" s="38"/>
      <c r="L12" s="79"/>
      <c r="M12" s="39" t="s">
        <v>226</v>
      </c>
      <c r="N12" s="200"/>
      <c r="O12" s="200"/>
      <c r="P12" s="203"/>
      <c r="Q12" s="388"/>
      <c r="R12" s="714"/>
      <c r="S12" s="205"/>
      <c r="U12" s="203"/>
      <c r="V12" s="388"/>
      <c r="W12" s="714"/>
      <c r="X12" s="40"/>
      <c r="Z12" s="203"/>
      <c r="AA12" s="388"/>
      <c r="AB12" s="714"/>
      <c r="AC12" s="40"/>
      <c r="AE12" s="203"/>
      <c r="AF12" s="388"/>
      <c r="AG12" s="714"/>
      <c r="AH12" s="40"/>
      <c r="AJ12" s="203"/>
      <c r="AK12" s="388"/>
      <c r="AL12" s="714"/>
      <c r="AM12" s="40"/>
      <c r="AO12" s="203"/>
      <c r="AP12" s="388"/>
      <c r="AQ12" s="204"/>
    </row>
    <row r="13" spans="2:44" s="60" customFormat="1" ht="30.2" customHeight="1">
      <c r="B13" s="470" t="s">
        <v>12</v>
      </c>
      <c r="C13" s="471">
        <v>1</v>
      </c>
      <c r="D13" s="472">
        <v>2</v>
      </c>
      <c r="E13" s="617" t="s">
        <v>394</v>
      </c>
      <c r="F13" s="197">
        <v>10</v>
      </c>
      <c r="G13" s="618">
        <v>0</v>
      </c>
      <c r="H13" s="40">
        <v>5</v>
      </c>
      <c r="I13" s="40"/>
      <c r="J13" s="168"/>
      <c r="K13" s="40"/>
      <c r="L13" s="40"/>
      <c r="M13" s="40"/>
      <c r="N13" s="40"/>
      <c r="O13" s="40"/>
      <c r="P13" s="207"/>
      <c r="Q13" s="373"/>
      <c r="R13" s="715"/>
      <c r="S13" s="205"/>
      <c r="U13" s="203"/>
      <c r="V13" s="373"/>
      <c r="W13" s="715"/>
      <c r="X13" s="40"/>
      <c r="Z13" s="203"/>
      <c r="AA13" s="373"/>
      <c r="AB13" s="715"/>
      <c r="AC13" s="40"/>
      <c r="AE13" s="203"/>
      <c r="AF13" s="373"/>
      <c r="AG13" s="715"/>
      <c r="AH13" s="40"/>
      <c r="AJ13" s="203"/>
      <c r="AK13" s="373"/>
      <c r="AL13" s="715"/>
      <c r="AM13" s="40"/>
      <c r="AO13" s="203"/>
      <c r="AP13" s="373"/>
      <c r="AQ13" s="387"/>
    </row>
    <row r="14" spans="2:44" s="60" customFormat="1" ht="30.2" customHeight="1">
      <c r="B14" s="470" t="s">
        <v>12</v>
      </c>
      <c r="C14" s="471">
        <v>1</v>
      </c>
      <c r="D14" s="472">
        <v>3</v>
      </c>
      <c r="E14" s="467" t="s">
        <v>23</v>
      </c>
      <c r="F14" s="473">
        <v>120</v>
      </c>
      <c r="G14" s="397">
        <f>'A 1.3'!D23</f>
        <v>0</v>
      </c>
      <c r="H14" s="40">
        <v>10</v>
      </c>
      <c r="I14" s="40"/>
      <c r="J14" s="40"/>
      <c r="K14" s="40"/>
      <c r="L14" s="40"/>
      <c r="M14" s="40"/>
      <c r="N14" s="40"/>
      <c r="O14" s="40"/>
      <c r="P14" s="207"/>
      <c r="Q14" s="373"/>
      <c r="R14" s="716"/>
      <c r="S14" s="206"/>
      <c r="T14" s="40"/>
      <c r="U14" s="207"/>
      <c r="V14" s="373"/>
      <c r="W14" s="716"/>
      <c r="Y14" s="40"/>
      <c r="Z14" s="207"/>
      <c r="AA14" s="373"/>
      <c r="AB14" s="716"/>
      <c r="AD14" s="25"/>
      <c r="AE14" s="207"/>
      <c r="AF14" s="373"/>
      <c r="AG14" s="716"/>
      <c r="AJ14" s="207"/>
      <c r="AK14" s="373"/>
      <c r="AL14" s="716"/>
      <c r="AM14" s="206"/>
      <c r="AO14" s="207"/>
      <c r="AP14" s="373"/>
      <c r="AQ14" s="198"/>
    </row>
    <row r="15" spans="2:44" s="60" customFormat="1" ht="30.2" customHeight="1">
      <c r="B15" s="470" t="s">
        <v>12</v>
      </c>
      <c r="C15" s="466" t="s">
        <v>11</v>
      </c>
      <c r="D15" s="472">
        <v>4</v>
      </c>
      <c r="E15" s="467" t="s">
        <v>467</v>
      </c>
      <c r="F15" s="473">
        <v>60</v>
      </c>
      <c r="G15" s="397">
        <f>'A 1.4'!E38</f>
        <v>0</v>
      </c>
      <c r="H15" s="40">
        <v>0</v>
      </c>
      <c r="I15" s="40"/>
      <c r="J15" s="40"/>
      <c r="K15" s="40"/>
      <c r="L15" s="40"/>
      <c r="M15" s="40"/>
      <c r="N15" s="40"/>
      <c r="O15" s="40"/>
      <c r="P15" s="207"/>
      <c r="Q15" s="373"/>
      <c r="R15" s="716"/>
      <c r="S15" s="206"/>
      <c r="T15" s="40"/>
      <c r="U15" s="207"/>
      <c r="V15" s="373"/>
      <c r="W15" s="716"/>
      <c r="Y15" s="40"/>
      <c r="Z15" s="207"/>
      <c r="AA15" s="373"/>
      <c r="AB15" s="716"/>
      <c r="AC15" s="206"/>
      <c r="AE15" s="207"/>
      <c r="AF15" s="373"/>
      <c r="AG15" s="716"/>
      <c r="AJ15" s="207"/>
      <c r="AK15" s="373"/>
      <c r="AL15" s="716"/>
      <c r="AM15" s="206"/>
      <c r="AO15" s="207"/>
      <c r="AP15" s="373"/>
      <c r="AQ15" s="198"/>
    </row>
    <row r="16" spans="2:44" s="60" customFormat="1" ht="30.2" customHeight="1">
      <c r="B16" s="382" t="s">
        <v>12</v>
      </c>
      <c r="C16" s="383" t="s">
        <v>11</v>
      </c>
      <c r="D16" s="472">
        <v>5</v>
      </c>
      <c r="E16" s="469" t="s">
        <v>340</v>
      </c>
      <c r="F16" s="466">
        <v>30</v>
      </c>
      <c r="G16" s="397">
        <f>'A 1.5'!D35</f>
        <v>0</v>
      </c>
      <c r="H16" s="60">
        <v>0</v>
      </c>
      <c r="I16" s="40"/>
      <c r="J16" s="40"/>
      <c r="K16" s="40"/>
      <c r="L16" s="40"/>
      <c r="M16" s="170" t="s">
        <v>325</v>
      </c>
      <c r="N16" s="40"/>
      <c r="O16" s="40"/>
      <c r="P16" s="207"/>
      <c r="Q16" s="373"/>
      <c r="R16" s="716"/>
      <c r="S16" s="206"/>
      <c r="T16" s="40"/>
      <c r="U16" s="207"/>
      <c r="V16" s="373"/>
      <c r="W16" s="716"/>
      <c r="Y16" s="40"/>
      <c r="Z16" s="207"/>
      <c r="AA16" s="373"/>
      <c r="AB16" s="716"/>
      <c r="AC16" s="206"/>
      <c r="AE16" s="207"/>
      <c r="AF16" s="373"/>
      <c r="AG16" s="716"/>
      <c r="AJ16" s="207"/>
      <c r="AK16" s="373"/>
      <c r="AL16" s="716"/>
      <c r="AM16" s="206"/>
      <c r="AO16" s="207"/>
      <c r="AP16" s="729"/>
      <c r="AQ16" s="466"/>
      <c r="AR16" s="497"/>
    </row>
    <row r="17" spans="2:43" s="60" customFormat="1" ht="30.2" customHeight="1">
      <c r="B17" s="382" t="s">
        <v>12</v>
      </c>
      <c r="C17" s="383" t="s">
        <v>11</v>
      </c>
      <c r="D17" s="472">
        <v>6</v>
      </c>
      <c r="E17" s="384" t="s">
        <v>392</v>
      </c>
      <c r="F17" s="383">
        <v>30</v>
      </c>
      <c r="G17" s="397">
        <f>'A 1.6'!D7</f>
        <v>0</v>
      </c>
      <c r="H17" s="40">
        <v>15</v>
      </c>
      <c r="I17" s="40"/>
      <c r="J17" s="167"/>
      <c r="K17" s="40"/>
      <c r="L17" s="40"/>
      <c r="M17" s="170">
        <v>0</v>
      </c>
      <c r="N17" s="40"/>
      <c r="O17" s="40"/>
      <c r="P17" s="207"/>
      <c r="Q17" s="373"/>
      <c r="R17" s="716"/>
      <c r="S17" s="206"/>
      <c r="T17" s="40"/>
      <c r="U17" s="207"/>
      <c r="V17" s="373"/>
      <c r="W17" s="716"/>
      <c r="Y17" s="40"/>
      <c r="Z17" s="207"/>
      <c r="AA17" s="373"/>
      <c r="AB17" s="716"/>
      <c r="AC17" s="206"/>
      <c r="AE17" s="207"/>
      <c r="AF17" s="373"/>
      <c r="AG17" s="716"/>
      <c r="AJ17" s="207"/>
      <c r="AK17" s="373"/>
      <c r="AL17" s="716"/>
      <c r="AM17" s="206"/>
      <c r="AO17" s="207"/>
      <c r="AP17" s="373"/>
      <c r="AQ17" s="730"/>
    </row>
    <row r="18" spans="2:43" s="60" customFormat="1" ht="30.2" customHeight="1">
      <c r="B18" s="470" t="s">
        <v>12</v>
      </c>
      <c r="C18" s="466" t="s">
        <v>11</v>
      </c>
      <c r="D18" s="472">
        <v>7</v>
      </c>
      <c r="E18" s="469" t="s">
        <v>466</v>
      </c>
      <c r="F18" s="466">
        <v>15</v>
      </c>
      <c r="G18" s="397">
        <f>'A 1.7'!E15</f>
        <v>0</v>
      </c>
      <c r="H18" s="40">
        <v>25</v>
      </c>
      <c r="I18" s="40"/>
      <c r="J18" s="167"/>
      <c r="K18" s="40"/>
      <c r="L18" s="40"/>
      <c r="M18" s="170"/>
      <c r="N18" s="40"/>
      <c r="O18" s="40"/>
      <c r="P18" s="207"/>
      <c r="Q18" s="478"/>
      <c r="R18" s="717"/>
      <c r="S18" s="206"/>
      <c r="T18" s="40"/>
      <c r="U18" s="207"/>
      <c r="V18" s="478"/>
      <c r="W18" s="717"/>
      <c r="Y18" s="40"/>
      <c r="Z18" s="207"/>
      <c r="AA18" s="478"/>
      <c r="AB18" s="717"/>
      <c r="AC18" s="206"/>
      <c r="AE18" s="207"/>
      <c r="AF18" s="478"/>
      <c r="AG18" s="717"/>
      <c r="AJ18" s="207"/>
      <c r="AK18" s="478"/>
      <c r="AL18" s="717"/>
      <c r="AM18" s="206"/>
      <c r="AO18" s="207"/>
      <c r="AP18" s="478"/>
      <c r="AQ18" s="479"/>
    </row>
    <row r="19" spans="2:43" ht="30.2" customHeight="1" thickBot="1">
      <c r="B19" s="523" t="s">
        <v>12</v>
      </c>
      <c r="C19" s="723" t="s">
        <v>11</v>
      </c>
      <c r="D19" s="724">
        <v>8</v>
      </c>
      <c r="E19" s="725" t="s">
        <v>468</v>
      </c>
      <c r="F19" s="723">
        <v>10</v>
      </c>
      <c r="G19" s="83">
        <f>'A 1.8'!D6</f>
        <v>0</v>
      </c>
      <c r="H19" s="28">
        <v>50</v>
      </c>
      <c r="M19" s="170">
        <v>10</v>
      </c>
      <c r="P19" s="218"/>
      <c r="Q19" s="389"/>
      <c r="R19" s="716"/>
      <c r="S19" s="206"/>
      <c r="T19" s="40"/>
      <c r="U19" s="207"/>
      <c r="V19" s="389"/>
      <c r="W19" s="716"/>
      <c r="X19" s="60"/>
      <c r="Y19" s="40"/>
      <c r="Z19" s="207"/>
      <c r="AA19" s="389"/>
      <c r="AB19" s="716"/>
      <c r="AC19" s="206"/>
      <c r="AD19" s="60"/>
      <c r="AE19" s="207"/>
      <c r="AF19" s="389"/>
      <c r="AG19" s="716"/>
      <c r="AH19" s="60"/>
      <c r="AI19" s="60"/>
      <c r="AJ19" s="207"/>
      <c r="AK19" s="389"/>
      <c r="AL19" s="716"/>
      <c r="AM19" s="206"/>
      <c r="AN19" s="60"/>
      <c r="AO19" s="207"/>
      <c r="AP19" s="389"/>
      <c r="AQ19" s="198"/>
    </row>
    <row r="20" spans="2:43" ht="8.4499999999999993" customHeight="1" thickBot="1">
      <c r="B20" s="23"/>
      <c r="C20" s="516"/>
      <c r="D20" s="516"/>
      <c r="E20" s="23"/>
      <c r="F20" s="23"/>
      <c r="G20" s="23"/>
      <c r="M20" s="170"/>
      <c r="Q20" s="464"/>
      <c r="R20" s="718"/>
      <c r="S20" s="60"/>
      <c r="T20" s="40"/>
      <c r="U20" s="40"/>
      <c r="V20" s="464"/>
      <c r="W20" s="202"/>
      <c r="X20" s="60"/>
      <c r="Y20" s="40"/>
      <c r="Z20" s="40"/>
      <c r="AA20" s="464"/>
      <c r="AB20" s="718"/>
      <c r="AC20" s="60"/>
      <c r="AD20" s="60"/>
      <c r="AE20" s="40"/>
      <c r="AF20" s="464"/>
      <c r="AG20" s="718"/>
      <c r="AH20" s="60"/>
      <c r="AI20" s="60"/>
      <c r="AJ20" s="40"/>
      <c r="AK20" s="464"/>
      <c r="AL20" s="718"/>
      <c r="AM20" s="60"/>
      <c r="AN20" s="60"/>
      <c r="AO20" s="40"/>
      <c r="AP20" s="464"/>
      <c r="AQ20" s="465"/>
    </row>
    <row r="21" spans="2:43" s="48" customFormat="1" ht="30.2" customHeight="1">
      <c r="B21" s="45" t="s">
        <v>8</v>
      </c>
      <c r="C21" s="46"/>
      <c r="D21" s="509"/>
      <c r="E21" s="266" t="s">
        <v>7</v>
      </c>
      <c r="F21" s="326">
        <v>340</v>
      </c>
      <c r="G21" s="327">
        <f>IF(G22&gt;G29,G22,G29)</f>
        <v>0</v>
      </c>
      <c r="H21" s="50" t="s">
        <v>350</v>
      </c>
      <c r="I21" s="50"/>
      <c r="J21" s="50"/>
      <c r="K21" s="50"/>
      <c r="L21" s="50"/>
      <c r="M21" s="50"/>
      <c r="N21" s="50"/>
      <c r="O21" s="50"/>
      <c r="P21" s="214"/>
      <c r="Q21" s="211"/>
      <c r="R21" s="202"/>
      <c r="S21" s="213"/>
      <c r="T21" s="47"/>
      <c r="U21" s="210"/>
      <c r="V21" s="211"/>
      <c r="W21" s="202"/>
      <c r="X21" s="44"/>
      <c r="Y21" s="47"/>
      <c r="Z21" s="210"/>
      <c r="AA21" s="211"/>
      <c r="AB21" s="202"/>
      <c r="AC21" s="213"/>
      <c r="AD21" s="44"/>
      <c r="AE21" s="210"/>
      <c r="AF21" s="211"/>
      <c r="AG21" s="202"/>
      <c r="AH21" s="44"/>
      <c r="AI21" s="44"/>
      <c r="AJ21" s="210"/>
      <c r="AK21" s="211"/>
      <c r="AL21" s="202"/>
      <c r="AM21" s="213"/>
      <c r="AN21" s="44"/>
      <c r="AO21" s="210"/>
      <c r="AP21" s="211"/>
      <c r="AQ21" s="212"/>
    </row>
    <row r="22" spans="2:43" s="60" customFormat="1" ht="30.2" customHeight="1">
      <c r="B22" s="260" t="str">
        <f t="shared" ref="B22:B28" si="0">B$21</f>
        <v>B</v>
      </c>
      <c r="C22" s="261">
        <f t="shared" ref="C22:C28" si="1">C$29</f>
        <v>1</v>
      </c>
      <c r="D22" s="510"/>
      <c r="E22" s="262" t="s">
        <v>24</v>
      </c>
      <c r="F22" s="328">
        <v>340</v>
      </c>
      <c r="G22" s="49">
        <f>IF(SUM(G23:G28)&lt;340,SUM(G23:G28),340)</f>
        <v>0</v>
      </c>
      <c r="H22" s="40" t="s">
        <v>328</v>
      </c>
      <c r="I22" s="40"/>
      <c r="J22" s="40"/>
      <c r="K22" s="40"/>
      <c r="L22" s="40"/>
      <c r="M22" s="40"/>
      <c r="N22" s="40"/>
      <c r="O22" s="40"/>
      <c r="P22" s="207"/>
      <c r="Q22" s="215"/>
      <c r="R22" s="719"/>
      <c r="S22" s="217"/>
      <c r="T22" s="50"/>
      <c r="U22" s="214"/>
      <c r="V22" s="215"/>
      <c r="W22" s="719"/>
      <c r="X22" s="48"/>
      <c r="Y22" s="50"/>
      <c r="Z22" s="214"/>
      <c r="AA22" s="215"/>
      <c r="AB22" s="719"/>
      <c r="AC22" s="217"/>
      <c r="AD22" s="48"/>
      <c r="AE22" s="214"/>
      <c r="AF22" s="215"/>
      <c r="AG22" s="719"/>
      <c r="AH22" s="48"/>
      <c r="AI22" s="48"/>
      <c r="AJ22" s="214"/>
      <c r="AK22" s="215"/>
      <c r="AL22" s="719"/>
      <c r="AM22" s="217"/>
      <c r="AN22" s="48"/>
      <c r="AO22" s="214"/>
      <c r="AP22" s="215"/>
      <c r="AQ22" s="216"/>
    </row>
    <row r="23" spans="2:43" s="60" customFormat="1" ht="30.2" customHeight="1">
      <c r="B23" s="61" t="str">
        <f t="shared" si="0"/>
        <v>B</v>
      </c>
      <c r="C23" s="62">
        <f t="shared" si="1"/>
        <v>1</v>
      </c>
      <c r="D23" s="37">
        <v>1</v>
      </c>
      <c r="E23" s="51" t="s">
        <v>224</v>
      </c>
      <c r="F23" s="37">
        <v>50</v>
      </c>
      <c r="G23" s="329">
        <f>IF(ISNUMBER('B1 '!B16),'B1 '!B16,0)</f>
        <v>0</v>
      </c>
      <c r="H23" s="40"/>
      <c r="I23" s="40"/>
      <c r="J23" s="40"/>
      <c r="K23" s="40"/>
      <c r="L23" s="40"/>
      <c r="M23" s="40"/>
      <c r="N23" s="40"/>
      <c r="O23" s="40"/>
      <c r="P23" s="207"/>
      <c r="Q23" s="41"/>
      <c r="R23" s="716"/>
      <c r="S23" s="206"/>
      <c r="T23" s="40"/>
      <c r="U23" s="207"/>
      <c r="V23" s="41"/>
      <c r="W23" s="716"/>
      <c r="Y23" s="40"/>
      <c r="Z23" s="207"/>
      <c r="AA23" s="41"/>
      <c r="AB23" s="716"/>
      <c r="AC23" s="206"/>
      <c r="AE23" s="207"/>
      <c r="AF23" s="41"/>
      <c r="AG23" s="716"/>
      <c r="AJ23" s="207"/>
      <c r="AK23" s="41"/>
      <c r="AL23" s="716"/>
      <c r="AM23" s="206"/>
      <c r="AO23" s="207"/>
      <c r="AP23" s="41"/>
      <c r="AQ23" s="198"/>
    </row>
    <row r="24" spans="2:43" s="60" customFormat="1" ht="30.2" customHeight="1">
      <c r="B24" s="61" t="s">
        <v>8</v>
      </c>
      <c r="C24" s="62" t="s">
        <v>11</v>
      </c>
      <c r="D24" s="37">
        <v>2</v>
      </c>
      <c r="E24" s="51" t="s">
        <v>305</v>
      </c>
      <c r="F24" s="37">
        <v>45</v>
      </c>
      <c r="G24" s="329">
        <f>IF(ISNUMBER('B1 '!B17),'B1 '!B17,0)</f>
        <v>0</v>
      </c>
      <c r="H24" s="40"/>
      <c r="I24" s="40"/>
      <c r="J24" s="40"/>
      <c r="K24" s="40"/>
      <c r="L24" s="40"/>
      <c r="M24" s="40"/>
      <c r="N24" s="40"/>
      <c r="O24" s="40"/>
      <c r="P24" s="207"/>
      <c r="Q24" s="41"/>
      <c r="R24" s="716"/>
      <c r="S24" s="206"/>
      <c r="T24" s="40"/>
      <c r="U24" s="207"/>
      <c r="V24" s="41"/>
      <c r="W24" s="716"/>
      <c r="Y24" s="40"/>
      <c r="Z24" s="207"/>
      <c r="AA24" s="41"/>
      <c r="AB24" s="716"/>
      <c r="AC24" s="206"/>
      <c r="AE24" s="207"/>
      <c r="AF24" s="41"/>
      <c r="AG24" s="716"/>
      <c r="AJ24" s="207"/>
      <c r="AK24" s="41"/>
      <c r="AL24" s="716"/>
      <c r="AM24" s="206"/>
      <c r="AO24" s="207"/>
      <c r="AP24" s="41"/>
      <c r="AQ24" s="198"/>
    </row>
    <row r="25" spans="2:43" s="60" customFormat="1" ht="30.2" customHeight="1">
      <c r="B25" s="61" t="str">
        <f t="shared" si="0"/>
        <v>B</v>
      </c>
      <c r="C25" s="62">
        <f t="shared" si="1"/>
        <v>1</v>
      </c>
      <c r="D25" s="37">
        <v>3</v>
      </c>
      <c r="E25" s="51" t="s">
        <v>19</v>
      </c>
      <c r="F25" s="37">
        <v>120</v>
      </c>
      <c r="G25" s="329">
        <f>IF(ISNUMBER('B1 '!B18),'B1 '!B18,0)</f>
        <v>0</v>
      </c>
      <c r="H25" s="40"/>
      <c r="I25" s="40"/>
      <c r="J25" s="40"/>
      <c r="K25" s="40"/>
      <c r="L25" s="40"/>
      <c r="M25" s="40"/>
      <c r="N25" s="40"/>
      <c r="O25" s="40"/>
      <c r="P25" s="207"/>
      <c r="Q25" s="41"/>
      <c r="R25" s="716"/>
      <c r="S25" s="206"/>
      <c r="T25" s="40"/>
      <c r="U25" s="207"/>
      <c r="V25" s="41"/>
      <c r="W25" s="716"/>
      <c r="Y25" s="40"/>
      <c r="Z25" s="207"/>
      <c r="AA25" s="41"/>
      <c r="AB25" s="716"/>
      <c r="AC25" s="206"/>
      <c r="AE25" s="207"/>
      <c r="AF25" s="41"/>
      <c r="AG25" s="716"/>
      <c r="AJ25" s="207"/>
      <c r="AK25" s="41"/>
      <c r="AL25" s="716"/>
      <c r="AM25" s="206"/>
      <c r="AO25" s="207"/>
      <c r="AP25" s="41"/>
      <c r="AQ25" s="198"/>
    </row>
    <row r="26" spans="2:43" s="60" customFormat="1" ht="30.2" customHeight="1">
      <c r="B26" s="61" t="str">
        <f t="shared" si="0"/>
        <v>B</v>
      </c>
      <c r="C26" s="62">
        <f t="shared" si="1"/>
        <v>1</v>
      </c>
      <c r="D26" s="37">
        <v>4</v>
      </c>
      <c r="E26" s="51" t="s">
        <v>29</v>
      </c>
      <c r="F26" s="37">
        <v>135</v>
      </c>
      <c r="G26" s="329">
        <f>IF(ISNUMBER('B1 '!B19),'B1 '!B19,0)</f>
        <v>0</v>
      </c>
      <c r="H26" s="40"/>
      <c r="I26" s="40"/>
      <c r="J26" s="40"/>
      <c r="K26" s="40"/>
      <c r="L26" s="40"/>
      <c r="M26" s="40"/>
      <c r="N26" s="40"/>
      <c r="O26" s="40"/>
      <c r="P26" s="207"/>
      <c r="Q26" s="41"/>
      <c r="R26" s="716"/>
      <c r="S26" s="206"/>
      <c r="T26" s="40"/>
      <c r="U26" s="207"/>
      <c r="V26" s="41"/>
      <c r="W26" s="716"/>
      <c r="Y26" s="40"/>
      <c r="Z26" s="207"/>
      <c r="AA26" s="41"/>
      <c r="AB26" s="716"/>
      <c r="AC26" s="206"/>
      <c r="AE26" s="207"/>
      <c r="AF26" s="41"/>
      <c r="AG26" s="716"/>
      <c r="AJ26" s="207"/>
      <c r="AK26" s="41"/>
      <c r="AL26" s="716"/>
      <c r="AM26" s="206"/>
      <c r="AO26" s="207"/>
      <c r="AP26" s="41"/>
      <c r="AQ26" s="198"/>
    </row>
    <row r="27" spans="2:43" s="60" customFormat="1" ht="30.2" customHeight="1">
      <c r="B27" s="61" t="str">
        <f t="shared" si="0"/>
        <v>B</v>
      </c>
      <c r="C27" s="62">
        <f t="shared" si="1"/>
        <v>1</v>
      </c>
      <c r="D27" s="37">
        <v>5</v>
      </c>
      <c r="E27" s="51" t="s">
        <v>271</v>
      </c>
      <c r="F27" s="37">
        <v>10</v>
      </c>
      <c r="G27" s="329">
        <f>IF(ISNUMBER('B 1.5'!B15),'B 1.5'!B15,0)</f>
        <v>0</v>
      </c>
      <c r="H27" s="40"/>
      <c r="I27" s="40"/>
      <c r="J27" s="40"/>
      <c r="K27" s="40"/>
      <c r="L27" s="40"/>
      <c r="M27" s="40"/>
      <c r="N27" s="40"/>
      <c r="O27" s="40"/>
      <c r="P27" s="207"/>
      <c r="Q27" s="41"/>
      <c r="R27" s="716"/>
      <c r="S27" s="206"/>
      <c r="T27" s="40"/>
      <c r="U27" s="207"/>
      <c r="V27" s="41"/>
      <c r="W27" s="716"/>
      <c r="Y27" s="40"/>
      <c r="Z27" s="207"/>
      <c r="AA27" s="41"/>
      <c r="AB27" s="716"/>
      <c r="AC27" s="206"/>
      <c r="AE27" s="207"/>
      <c r="AF27" s="41"/>
      <c r="AG27" s="716"/>
      <c r="AJ27" s="207"/>
      <c r="AK27" s="41"/>
      <c r="AL27" s="716"/>
      <c r="AM27" s="206"/>
      <c r="AO27" s="207"/>
      <c r="AP27" s="41"/>
      <c r="AQ27" s="198"/>
    </row>
    <row r="28" spans="2:43" s="48" customFormat="1" ht="30.2" customHeight="1">
      <c r="B28" s="61" t="str">
        <f t="shared" si="0"/>
        <v>B</v>
      </c>
      <c r="C28" s="62">
        <f t="shared" si="1"/>
        <v>1</v>
      </c>
      <c r="D28" s="37">
        <v>6</v>
      </c>
      <c r="E28" s="52" t="s">
        <v>399</v>
      </c>
      <c r="F28" s="37" t="s">
        <v>554</v>
      </c>
      <c r="G28" s="679"/>
      <c r="H28" s="50"/>
      <c r="I28" s="50"/>
      <c r="J28" s="40"/>
      <c r="K28" s="50"/>
      <c r="L28" s="50"/>
      <c r="M28" s="50"/>
      <c r="N28" s="50"/>
      <c r="O28" s="50"/>
      <c r="P28" s="214"/>
      <c r="Q28" s="41"/>
      <c r="R28" s="716"/>
      <c r="S28" s="206"/>
      <c r="T28" s="40"/>
      <c r="U28" s="207"/>
      <c r="V28" s="41"/>
      <c r="W28" s="716"/>
      <c r="X28" s="60"/>
      <c r="Y28" s="40"/>
      <c r="Z28" s="207"/>
      <c r="AA28" s="41"/>
      <c r="AB28" s="716"/>
      <c r="AC28" s="206"/>
      <c r="AD28" s="60"/>
      <c r="AE28" s="207"/>
      <c r="AF28" s="41"/>
      <c r="AG28" s="716"/>
      <c r="AH28" s="60"/>
      <c r="AI28" s="60"/>
      <c r="AJ28" s="207"/>
      <c r="AK28" s="41"/>
      <c r="AL28" s="716"/>
      <c r="AM28" s="206"/>
      <c r="AN28" s="60"/>
      <c r="AO28" s="207"/>
      <c r="AP28" s="41"/>
      <c r="AQ28" s="198"/>
    </row>
    <row r="29" spans="2:43" ht="30.2" customHeight="1">
      <c r="B29" s="53" t="s">
        <v>8</v>
      </c>
      <c r="C29" s="54">
        <v>1</v>
      </c>
      <c r="D29" s="511" t="s">
        <v>22</v>
      </c>
      <c r="E29" s="55" t="s">
        <v>27</v>
      </c>
      <c r="F29" s="328">
        <v>340</v>
      </c>
      <c r="G29" s="158">
        <f>IF(SUM(G30:G36)&lt;340,SUM(G30:G36),340)</f>
        <v>0</v>
      </c>
      <c r="J29" s="40"/>
      <c r="P29" s="218"/>
      <c r="Q29" s="215"/>
      <c r="R29" s="719"/>
      <c r="S29" s="217"/>
      <c r="T29" s="50"/>
      <c r="U29" s="214"/>
      <c r="V29" s="215"/>
      <c r="W29" s="719"/>
      <c r="X29" s="48"/>
      <c r="Y29" s="50"/>
      <c r="Z29" s="214"/>
      <c r="AA29" s="215"/>
      <c r="AB29" s="719"/>
      <c r="AC29" s="217"/>
      <c r="AD29" s="48"/>
      <c r="AE29" s="214"/>
      <c r="AF29" s="215"/>
      <c r="AG29" s="719"/>
      <c r="AH29" s="48"/>
      <c r="AI29" s="48"/>
      <c r="AJ29" s="214"/>
      <c r="AK29" s="215"/>
      <c r="AL29" s="719"/>
      <c r="AM29" s="217"/>
      <c r="AN29" s="48"/>
      <c r="AO29" s="214"/>
      <c r="AP29" s="215"/>
      <c r="AQ29" s="216"/>
    </row>
    <row r="30" spans="2:43" ht="15.75">
      <c r="B30" s="61" t="str">
        <f>B$21</f>
        <v>B</v>
      </c>
      <c r="C30" s="62">
        <f>C$29</f>
        <v>1</v>
      </c>
      <c r="D30" s="37" t="s">
        <v>352</v>
      </c>
      <c r="E30" s="51" t="s">
        <v>318</v>
      </c>
      <c r="F30" s="37">
        <v>25</v>
      </c>
      <c r="G30" s="329">
        <f>IF(ISNUMBER('B1b '!B25),'B1b '!B25,0)</f>
        <v>0</v>
      </c>
      <c r="J30" s="40"/>
      <c r="L30" s="711"/>
      <c r="P30" s="218"/>
      <c r="Q30" s="41"/>
      <c r="R30" s="716"/>
      <c r="S30" s="209"/>
      <c r="U30" s="218"/>
      <c r="V30" s="41"/>
      <c r="W30" s="716"/>
      <c r="Z30" s="218"/>
      <c r="AA30" s="41"/>
      <c r="AB30" s="716"/>
      <c r="AC30" s="209"/>
      <c r="AE30" s="218"/>
      <c r="AF30" s="41"/>
      <c r="AG30" s="716"/>
      <c r="AJ30" s="218"/>
      <c r="AK30" s="41"/>
      <c r="AL30" s="716"/>
      <c r="AM30" s="209"/>
      <c r="AO30" s="218"/>
      <c r="AP30" s="41"/>
      <c r="AQ30" s="198"/>
    </row>
    <row r="31" spans="2:43" ht="30.2" customHeight="1">
      <c r="B31" s="61" t="s">
        <v>8</v>
      </c>
      <c r="C31" s="62" t="s">
        <v>11</v>
      </c>
      <c r="D31" s="37" t="s">
        <v>353</v>
      </c>
      <c r="E31" s="51" t="s">
        <v>355</v>
      </c>
      <c r="F31" s="37">
        <v>40</v>
      </c>
      <c r="G31" s="329">
        <f>IF(ISNUMBER('B1b '!B26),'B1b '!B26,0)</f>
        <v>0</v>
      </c>
      <c r="P31" s="218"/>
      <c r="Q31" s="41"/>
      <c r="R31" s="716"/>
      <c r="S31" s="209"/>
      <c r="U31" s="218"/>
      <c r="V31" s="41"/>
      <c r="W31" s="716"/>
      <c r="Z31" s="218"/>
      <c r="AA31" s="41"/>
      <c r="AB31" s="716"/>
      <c r="AC31" s="209"/>
      <c r="AE31" s="218"/>
      <c r="AF31" s="41"/>
      <c r="AG31" s="716"/>
      <c r="AJ31" s="218"/>
      <c r="AK31" s="41"/>
      <c r="AL31" s="716"/>
      <c r="AM31" s="209"/>
      <c r="AO31" s="218"/>
      <c r="AP31" s="41"/>
      <c r="AQ31" s="198"/>
    </row>
    <row r="32" spans="2:43" s="56" customFormat="1" ht="30.2" customHeight="1">
      <c r="B32" s="61" t="s">
        <v>8</v>
      </c>
      <c r="C32" s="62" t="s">
        <v>11</v>
      </c>
      <c r="D32" s="37" t="s">
        <v>20</v>
      </c>
      <c r="E32" s="51" t="s">
        <v>319</v>
      </c>
      <c r="F32" s="37">
        <v>30</v>
      </c>
      <c r="G32" s="329">
        <f>IF(ISNUMBER('B1b '!B27),'B1b '!B27,0)</f>
        <v>0</v>
      </c>
      <c r="H32" s="59"/>
      <c r="I32" s="59"/>
      <c r="J32" s="59"/>
      <c r="K32" s="59"/>
      <c r="L32" s="59"/>
      <c r="M32" s="59"/>
      <c r="N32" s="59"/>
      <c r="O32" s="59"/>
      <c r="P32" s="219"/>
      <c r="Q32" s="41"/>
      <c r="R32" s="716"/>
      <c r="S32" s="209"/>
      <c r="T32" s="28"/>
      <c r="U32" s="218"/>
      <c r="V32" s="41"/>
      <c r="W32" s="716"/>
      <c r="X32" s="23"/>
      <c r="Y32" s="28"/>
      <c r="Z32" s="218"/>
      <c r="AA32" s="41"/>
      <c r="AB32" s="716"/>
      <c r="AC32" s="209"/>
      <c r="AD32" s="23"/>
      <c r="AE32" s="218"/>
      <c r="AF32" s="41"/>
      <c r="AG32" s="716"/>
      <c r="AH32" s="23"/>
      <c r="AI32" s="23"/>
      <c r="AJ32" s="218"/>
      <c r="AK32" s="41"/>
      <c r="AL32" s="716"/>
      <c r="AM32" s="209"/>
      <c r="AN32" s="23"/>
      <c r="AO32" s="218"/>
      <c r="AP32" s="41"/>
      <c r="AQ32" s="198"/>
    </row>
    <row r="33" spans="2:43" s="60" customFormat="1" ht="30.2" customHeight="1">
      <c r="B33" s="57" t="str">
        <f>B$21</f>
        <v>B</v>
      </c>
      <c r="C33" s="58">
        <f>C$29</f>
        <v>1</v>
      </c>
      <c r="D33" s="37" t="s">
        <v>14</v>
      </c>
      <c r="E33" s="52" t="s">
        <v>320</v>
      </c>
      <c r="F33" s="37">
        <v>120</v>
      </c>
      <c r="G33" s="329">
        <f>IF(ISNUMBER('B1b '!B28),'B1b '!B28,0)</f>
        <v>0</v>
      </c>
      <c r="H33" s="40"/>
      <c r="I33" s="40"/>
      <c r="J33" s="40"/>
      <c r="K33" s="40"/>
      <c r="L33" s="40"/>
      <c r="M33" s="40"/>
      <c r="N33" s="40"/>
      <c r="O33" s="40"/>
      <c r="P33" s="207"/>
      <c r="Q33" s="41"/>
      <c r="R33" s="716"/>
      <c r="S33" s="220"/>
      <c r="T33" s="59"/>
      <c r="U33" s="219"/>
      <c r="V33" s="41"/>
      <c r="W33" s="716"/>
      <c r="X33" s="56"/>
      <c r="Y33" s="59"/>
      <c r="Z33" s="219"/>
      <c r="AA33" s="41"/>
      <c r="AB33" s="716"/>
      <c r="AC33" s="220"/>
      <c r="AD33" s="56"/>
      <c r="AE33" s="219"/>
      <c r="AF33" s="41"/>
      <c r="AG33" s="716"/>
      <c r="AH33" s="56"/>
      <c r="AI33" s="56"/>
      <c r="AJ33" s="219"/>
      <c r="AK33" s="41"/>
      <c r="AL33" s="716"/>
      <c r="AM33" s="220"/>
      <c r="AN33" s="56"/>
      <c r="AO33" s="219"/>
      <c r="AP33" s="41"/>
      <c r="AQ33" s="198"/>
    </row>
    <row r="34" spans="2:43" ht="30.2" customHeight="1">
      <c r="B34" s="61" t="str">
        <f>B$21</f>
        <v>B</v>
      </c>
      <c r="C34" s="62">
        <f>C$29</f>
        <v>1</v>
      </c>
      <c r="D34" s="37" t="s">
        <v>348</v>
      </c>
      <c r="E34" s="51" t="s">
        <v>259</v>
      </c>
      <c r="F34" s="37">
        <v>135</v>
      </c>
      <c r="G34" s="329">
        <f>IF(ISNUMBER('B1b '!B29),'B1b '!B29,0)</f>
        <v>0</v>
      </c>
      <c r="P34" s="218"/>
      <c r="Q34" s="41"/>
      <c r="R34" s="716"/>
      <c r="S34" s="206"/>
      <c r="T34" s="40"/>
      <c r="U34" s="207"/>
      <c r="V34" s="41"/>
      <c r="W34" s="716"/>
      <c r="X34" s="60"/>
      <c r="Y34" s="40"/>
      <c r="Z34" s="207"/>
      <c r="AA34" s="41"/>
      <c r="AB34" s="716"/>
      <c r="AC34" s="206"/>
      <c r="AD34" s="60"/>
      <c r="AE34" s="207"/>
      <c r="AF34" s="41"/>
      <c r="AG34" s="716"/>
      <c r="AH34" s="60"/>
      <c r="AI34" s="60"/>
      <c r="AJ34" s="207"/>
      <c r="AK34" s="41"/>
      <c r="AL34" s="716"/>
      <c r="AM34" s="206"/>
      <c r="AN34" s="60"/>
      <c r="AO34" s="207"/>
      <c r="AP34" s="41"/>
      <c r="AQ34" s="198"/>
    </row>
    <row r="35" spans="2:43" ht="30.2" customHeight="1">
      <c r="B35" s="61" t="str">
        <f>B$21</f>
        <v>B</v>
      </c>
      <c r="C35" s="62">
        <f>C$29</f>
        <v>1</v>
      </c>
      <c r="D35" s="37" t="s">
        <v>349</v>
      </c>
      <c r="E35" s="51" t="s">
        <v>271</v>
      </c>
      <c r="F35" s="37">
        <v>10</v>
      </c>
      <c r="G35" s="329">
        <f>IF(ISNUMBER('B 1.5'!B15),'B 1.5'!B15,0)</f>
        <v>0</v>
      </c>
      <c r="H35" s="40"/>
      <c r="I35" s="40"/>
      <c r="J35" s="40"/>
      <c r="K35" s="40"/>
      <c r="L35" s="40"/>
      <c r="M35" s="40"/>
      <c r="N35" s="40"/>
      <c r="O35" s="40"/>
      <c r="P35" s="207"/>
      <c r="Q35" s="41"/>
      <c r="R35" s="716"/>
      <c r="S35" s="209"/>
      <c r="U35" s="218"/>
      <c r="V35" s="41"/>
      <c r="W35" s="716"/>
      <c r="Z35" s="218"/>
      <c r="AA35" s="41"/>
      <c r="AB35" s="716"/>
      <c r="AC35" s="209"/>
      <c r="AE35" s="218"/>
      <c r="AF35" s="41"/>
      <c r="AG35" s="716"/>
      <c r="AJ35" s="218"/>
      <c r="AK35" s="41"/>
      <c r="AL35" s="716"/>
      <c r="AM35" s="209"/>
      <c r="AO35" s="218"/>
      <c r="AP35" s="41"/>
      <c r="AQ35" s="198"/>
    </row>
    <row r="36" spans="2:43" ht="30.2" customHeight="1" thickBot="1">
      <c r="B36" s="330" t="str">
        <f>B$21</f>
        <v>B</v>
      </c>
      <c r="C36" s="331">
        <f>C$29</f>
        <v>1</v>
      </c>
      <c r="D36" s="70" t="s">
        <v>351</v>
      </c>
      <c r="E36" s="69" t="s">
        <v>399</v>
      </c>
      <c r="F36" s="70" t="s">
        <v>554</v>
      </c>
      <c r="G36" s="678"/>
      <c r="Q36" s="208"/>
      <c r="R36" s="716"/>
      <c r="S36" s="209"/>
      <c r="T36" s="40"/>
      <c r="U36" s="207"/>
      <c r="V36" s="41"/>
      <c r="W36" s="716"/>
      <c r="Y36" s="40"/>
      <c r="Z36" s="207"/>
      <c r="AA36" s="41"/>
      <c r="AB36" s="716"/>
      <c r="AC36" s="209"/>
      <c r="AE36" s="207"/>
      <c r="AF36" s="41"/>
      <c r="AG36" s="716"/>
      <c r="AJ36" s="207"/>
      <c r="AK36" s="41"/>
      <c r="AL36" s="716"/>
      <c r="AM36" s="209"/>
      <c r="AO36" s="207"/>
      <c r="AP36" s="41"/>
      <c r="AQ36" s="198"/>
    </row>
    <row r="37" spans="2:43" s="44" customFormat="1" ht="10.5" customHeight="1" thickBot="1">
      <c r="B37" s="235"/>
      <c r="C37" s="517"/>
      <c r="D37" s="497"/>
      <c r="E37" s="40"/>
      <c r="F37" s="63"/>
      <c r="G37" s="43"/>
      <c r="H37" s="47"/>
      <c r="I37" s="47"/>
      <c r="J37" s="47"/>
      <c r="K37" s="47"/>
      <c r="L37" s="47"/>
      <c r="M37" s="47"/>
      <c r="N37" s="47"/>
      <c r="O37" s="47"/>
      <c r="P37" s="47"/>
      <c r="Q37" s="390"/>
      <c r="R37" s="718"/>
      <c r="S37" s="23"/>
      <c r="T37" s="28"/>
      <c r="U37" s="28"/>
      <c r="V37" s="43"/>
      <c r="W37" s="716"/>
      <c r="X37" s="23"/>
      <c r="Y37" s="28"/>
      <c r="Z37" s="28"/>
      <c r="AA37" s="43"/>
      <c r="AB37" s="718"/>
      <c r="AC37" s="23"/>
      <c r="AD37" s="23"/>
      <c r="AE37" s="28"/>
      <c r="AF37" s="43"/>
      <c r="AG37" s="716"/>
      <c r="AH37" s="23"/>
      <c r="AI37" s="23"/>
      <c r="AJ37" s="28"/>
      <c r="AK37" s="43"/>
      <c r="AL37" s="718"/>
      <c r="AM37" s="23"/>
      <c r="AN37" s="23"/>
      <c r="AO37" s="28"/>
      <c r="AP37" s="43"/>
      <c r="AQ37" s="198"/>
    </row>
    <row r="38" spans="2:43" s="48" customFormat="1" ht="30.2" customHeight="1">
      <c r="B38" s="64" t="s">
        <v>13</v>
      </c>
      <c r="C38" s="65"/>
      <c r="D38" s="512"/>
      <c r="E38" s="267" t="s">
        <v>0</v>
      </c>
      <c r="F38" s="332">
        <v>125</v>
      </c>
      <c r="G38" s="333">
        <f>IF((G39+G42)&lt;125,(G39+G42),125)</f>
        <v>0</v>
      </c>
      <c r="H38" s="50"/>
      <c r="I38" s="50"/>
      <c r="J38" s="50"/>
      <c r="K38" s="50"/>
      <c r="L38" s="50"/>
      <c r="M38" s="50"/>
      <c r="N38" s="50"/>
      <c r="O38" s="50"/>
      <c r="P38" s="214"/>
      <c r="Q38" s="221"/>
      <c r="R38" s="202"/>
      <c r="S38" s="213"/>
      <c r="T38" s="47"/>
      <c r="U38" s="210"/>
      <c r="V38" s="221"/>
      <c r="W38" s="202"/>
      <c r="X38" s="44"/>
      <c r="Y38" s="47"/>
      <c r="Z38" s="210"/>
      <c r="AA38" s="221"/>
      <c r="AB38" s="202"/>
      <c r="AC38" s="213"/>
      <c r="AD38" s="44"/>
      <c r="AE38" s="210"/>
      <c r="AF38" s="221"/>
      <c r="AG38" s="202"/>
      <c r="AH38" s="44"/>
      <c r="AI38" s="44"/>
      <c r="AJ38" s="210"/>
      <c r="AK38" s="221"/>
      <c r="AL38" s="202"/>
      <c r="AM38" s="213"/>
      <c r="AN38" s="44"/>
      <c r="AO38" s="210"/>
      <c r="AP38" s="221"/>
      <c r="AQ38" s="212"/>
    </row>
    <row r="39" spans="2:43" ht="30.2" customHeight="1">
      <c r="B39" s="66" t="str">
        <f>B38</f>
        <v>C</v>
      </c>
      <c r="C39" s="67">
        <v>1</v>
      </c>
      <c r="D39" s="513"/>
      <c r="E39" s="68" t="s">
        <v>1</v>
      </c>
      <c r="F39" s="334">
        <v>75</v>
      </c>
      <c r="G39" s="335">
        <f>IF(SUM(G40:G41)&lt;75,SUM(G40:G41),75)</f>
        <v>0</v>
      </c>
      <c r="P39" s="218"/>
      <c r="Q39" s="222"/>
      <c r="R39" s="719"/>
      <c r="S39" s="217"/>
      <c r="T39" s="50"/>
      <c r="U39" s="214"/>
      <c r="V39" s="222"/>
      <c r="W39" s="719"/>
      <c r="X39" s="48"/>
      <c r="Y39" s="50"/>
      <c r="Z39" s="214"/>
      <c r="AA39" s="222"/>
      <c r="AB39" s="719"/>
      <c r="AC39" s="217"/>
      <c r="AD39" s="48"/>
      <c r="AE39" s="214"/>
      <c r="AF39" s="222"/>
      <c r="AG39" s="719"/>
      <c r="AH39" s="48"/>
      <c r="AI39" s="48"/>
      <c r="AJ39" s="214"/>
      <c r="AK39" s="222"/>
      <c r="AL39" s="719"/>
      <c r="AM39" s="217"/>
      <c r="AN39" s="48"/>
      <c r="AO39" s="214"/>
      <c r="AP39" s="222"/>
      <c r="AQ39" s="216"/>
    </row>
    <row r="40" spans="2:43" ht="30.2" customHeight="1">
      <c r="B40" s="61" t="s">
        <v>13</v>
      </c>
      <c r="C40" s="62">
        <f>C$39</f>
        <v>1</v>
      </c>
      <c r="D40" s="37">
        <f>D38+1</f>
        <v>1</v>
      </c>
      <c r="E40" s="52" t="s">
        <v>3</v>
      </c>
      <c r="F40" s="37">
        <v>75</v>
      </c>
      <c r="G40" s="329">
        <f>'C 1.1'!C11</f>
        <v>0</v>
      </c>
      <c r="P40" s="218"/>
      <c r="Q40" s="41"/>
      <c r="R40" s="716"/>
      <c r="S40" s="209"/>
      <c r="U40" s="218"/>
      <c r="V40" s="41"/>
      <c r="W40" s="716"/>
      <c r="Z40" s="218"/>
      <c r="AA40" s="41"/>
      <c r="AB40" s="716"/>
      <c r="AC40" s="209"/>
      <c r="AE40" s="218"/>
      <c r="AF40" s="41"/>
      <c r="AG40" s="716"/>
      <c r="AJ40" s="218"/>
      <c r="AK40" s="41"/>
      <c r="AL40" s="716"/>
      <c r="AM40" s="209"/>
      <c r="AO40" s="218"/>
      <c r="AP40" s="41"/>
      <c r="AQ40" s="198"/>
    </row>
    <row r="41" spans="2:43" s="48" customFormat="1" ht="30.2" customHeight="1" thickBot="1">
      <c r="B41" s="523" t="s">
        <v>13</v>
      </c>
      <c r="C41" s="331">
        <v>1</v>
      </c>
      <c r="D41" s="70">
        <v>2</v>
      </c>
      <c r="E41" s="69" t="s">
        <v>379</v>
      </c>
      <c r="F41" s="70">
        <v>10</v>
      </c>
      <c r="G41" s="340">
        <f>'C 1.2'!C6</f>
        <v>0</v>
      </c>
      <c r="H41" s="50"/>
      <c r="I41" s="50"/>
      <c r="J41" s="50"/>
      <c r="K41" s="50"/>
      <c r="L41" s="50"/>
      <c r="M41" s="50"/>
      <c r="N41" s="50"/>
      <c r="O41" s="50"/>
      <c r="P41" s="214"/>
      <c r="Q41" s="372"/>
      <c r="R41" s="717"/>
      <c r="S41" s="209"/>
      <c r="T41" s="28"/>
      <c r="U41" s="218"/>
      <c r="V41" s="372"/>
      <c r="W41" s="717"/>
      <c r="X41" s="23"/>
      <c r="Y41" s="28"/>
      <c r="Z41" s="218"/>
      <c r="AA41" s="372"/>
      <c r="AB41" s="717"/>
      <c r="AC41" s="209"/>
      <c r="AD41" s="23"/>
      <c r="AE41" s="218"/>
      <c r="AF41" s="372"/>
      <c r="AG41" s="717"/>
      <c r="AH41" s="23"/>
      <c r="AI41" s="23"/>
      <c r="AJ41" s="218"/>
      <c r="AK41" s="372"/>
      <c r="AL41" s="717"/>
      <c r="AM41" s="209"/>
      <c r="AN41" s="23"/>
      <c r="AO41" s="218"/>
      <c r="AP41" s="372"/>
      <c r="AQ41" s="479"/>
    </row>
    <row r="42" spans="2:43" ht="30.2" customHeight="1">
      <c r="B42" s="66" t="s">
        <v>13</v>
      </c>
      <c r="C42" s="67">
        <v>2</v>
      </c>
      <c r="D42" s="513"/>
      <c r="E42" s="68" t="s">
        <v>2</v>
      </c>
      <c r="F42" s="334">
        <v>70</v>
      </c>
      <c r="G42" s="335">
        <f>IF(SUM(G43:G43)&lt;70,SUM(G43:G43),70)</f>
        <v>0</v>
      </c>
      <c r="P42" s="218"/>
      <c r="Q42" s="222"/>
      <c r="R42" s="719"/>
      <c r="S42" s="217"/>
      <c r="T42" s="50"/>
      <c r="U42" s="214"/>
      <c r="V42" s="222"/>
      <c r="W42" s="719"/>
      <c r="X42" s="48"/>
      <c r="Y42" s="50"/>
      <c r="Z42" s="214"/>
      <c r="AA42" s="222"/>
      <c r="AB42" s="719"/>
      <c r="AC42" s="217"/>
      <c r="AD42" s="48"/>
      <c r="AE42" s="214"/>
      <c r="AF42" s="222"/>
      <c r="AG42" s="719"/>
      <c r="AH42" s="48"/>
      <c r="AI42" s="48"/>
      <c r="AJ42" s="214"/>
      <c r="AK42" s="222"/>
      <c r="AL42" s="719"/>
      <c r="AM42" s="217"/>
      <c r="AN42" s="48"/>
      <c r="AO42" s="214"/>
      <c r="AP42" s="222"/>
      <c r="AQ42" s="216"/>
    </row>
    <row r="43" spans="2:43" ht="30.2" customHeight="1" thickBot="1">
      <c r="B43" s="474" t="s">
        <v>13</v>
      </c>
      <c r="C43" s="331">
        <v>2</v>
      </c>
      <c r="D43" s="70">
        <v>1</v>
      </c>
      <c r="E43" s="69" t="s">
        <v>26</v>
      </c>
      <c r="F43" s="70">
        <v>70</v>
      </c>
      <c r="G43" s="401">
        <f>'C 2.1'!D14</f>
        <v>0</v>
      </c>
      <c r="Q43" s="230"/>
      <c r="R43" s="716"/>
      <c r="S43" s="209"/>
      <c r="U43" s="218"/>
      <c r="V43" s="42"/>
      <c r="W43" s="716"/>
      <c r="Z43" s="218"/>
      <c r="AA43" s="42"/>
      <c r="AB43" s="716"/>
      <c r="AC43" s="209"/>
      <c r="AE43" s="218"/>
      <c r="AF43" s="42"/>
      <c r="AG43" s="716"/>
      <c r="AJ43" s="218"/>
      <c r="AK43" s="42"/>
      <c r="AL43" s="716"/>
      <c r="AM43" s="209"/>
      <c r="AO43" s="218"/>
      <c r="AP43" s="42"/>
      <c r="AQ43" s="198"/>
    </row>
    <row r="44" spans="2:43" s="44" customFormat="1" ht="10.5" customHeight="1" thickBot="1">
      <c r="B44" s="23"/>
      <c r="C44" s="516"/>
      <c r="D44" s="516"/>
      <c r="E44" s="23"/>
      <c r="F44" s="23"/>
      <c r="G44" s="23"/>
      <c r="H44" s="75"/>
      <c r="I44" s="75"/>
      <c r="J44" s="75"/>
      <c r="K44" s="75"/>
      <c r="L44" s="75"/>
      <c r="M44" s="75"/>
      <c r="N44" s="75"/>
      <c r="O44" s="75"/>
      <c r="P44" s="75"/>
      <c r="Q44" s="43"/>
      <c r="R44" s="718"/>
      <c r="S44" s="23"/>
      <c r="T44" s="28"/>
      <c r="U44" s="28"/>
      <c r="V44" s="43"/>
      <c r="W44" s="718"/>
      <c r="X44" s="23"/>
      <c r="Y44" s="28"/>
      <c r="Z44" s="28"/>
      <c r="AA44" s="43"/>
      <c r="AB44" s="718"/>
      <c r="AC44" s="23"/>
      <c r="AD44" s="23"/>
      <c r="AE44" s="28"/>
      <c r="AF44" s="43"/>
      <c r="AG44" s="718"/>
      <c r="AH44" s="23"/>
      <c r="AI44" s="23"/>
      <c r="AJ44" s="28"/>
      <c r="AK44" s="43"/>
      <c r="AL44" s="718"/>
      <c r="AM44" s="23"/>
      <c r="AN44" s="23"/>
      <c r="AO44" s="28"/>
      <c r="AP44" s="43"/>
      <c r="AQ44" s="465"/>
    </row>
    <row r="45" spans="2:43" s="48" customFormat="1" ht="30.2" customHeight="1">
      <c r="B45" s="71" t="s">
        <v>15</v>
      </c>
      <c r="C45" s="72"/>
      <c r="D45" s="514"/>
      <c r="E45" s="268" t="s">
        <v>9</v>
      </c>
      <c r="F45" s="336">
        <v>245</v>
      </c>
      <c r="G45" s="337">
        <f>IF((G46+G50)&lt;245,(G46+G50),245)</f>
        <v>0</v>
      </c>
      <c r="H45" s="77"/>
      <c r="I45" s="77"/>
      <c r="J45" s="77"/>
      <c r="K45" s="77"/>
      <c r="L45" s="77"/>
      <c r="M45" s="77"/>
      <c r="N45" s="77"/>
      <c r="O45" s="77"/>
      <c r="P45" s="77"/>
      <c r="Q45" s="223"/>
      <c r="R45" s="202"/>
      <c r="S45" s="213"/>
      <c r="T45" s="47"/>
      <c r="U45" s="210"/>
      <c r="V45" s="223"/>
      <c r="W45" s="202"/>
      <c r="X45" s="44"/>
      <c r="Y45" s="47"/>
      <c r="Z45" s="210"/>
      <c r="AA45" s="223"/>
      <c r="AB45" s="202"/>
      <c r="AC45" s="213"/>
      <c r="AD45" s="44"/>
      <c r="AE45" s="210"/>
      <c r="AF45" s="223"/>
      <c r="AG45" s="202"/>
      <c r="AH45" s="44"/>
      <c r="AI45" s="44"/>
      <c r="AJ45" s="210"/>
      <c r="AK45" s="223"/>
      <c r="AL45" s="202"/>
      <c r="AM45" s="213"/>
      <c r="AN45" s="44"/>
      <c r="AO45" s="210"/>
      <c r="AP45" s="223"/>
      <c r="AQ45" s="212"/>
    </row>
    <row r="46" spans="2:43" s="76" customFormat="1" ht="30.2" customHeight="1">
      <c r="B46" s="524" t="s">
        <v>15</v>
      </c>
      <c r="C46" s="518">
        <v>1</v>
      </c>
      <c r="D46" s="515"/>
      <c r="E46" s="73" t="s">
        <v>411</v>
      </c>
      <c r="F46" s="338">
        <v>65</v>
      </c>
      <c r="G46" s="74">
        <f>IF(SUM(G47:G49)&lt;65,SUM(G47:G49),65)</f>
        <v>0</v>
      </c>
      <c r="H46" s="50"/>
      <c r="I46" s="50"/>
      <c r="J46" s="50"/>
      <c r="K46" s="50"/>
      <c r="L46" s="50"/>
      <c r="M46" s="50"/>
      <c r="N46" s="50"/>
      <c r="O46" s="50"/>
      <c r="P46" s="50"/>
      <c r="Q46" s="224"/>
      <c r="R46" s="719"/>
      <c r="S46" s="217"/>
      <c r="T46" s="75"/>
      <c r="U46" s="225"/>
      <c r="V46" s="224"/>
      <c r="W46" s="719"/>
      <c r="X46" s="48"/>
      <c r="Y46" s="75"/>
      <c r="Z46" s="225"/>
      <c r="AA46" s="224"/>
      <c r="AB46" s="719"/>
      <c r="AC46" s="217"/>
      <c r="AD46" s="48"/>
      <c r="AE46" s="225"/>
      <c r="AF46" s="224"/>
      <c r="AG46" s="719"/>
      <c r="AH46" s="48"/>
      <c r="AI46" s="48"/>
      <c r="AJ46" s="225"/>
      <c r="AK46" s="224"/>
      <c r="AL46" s="719"/>
      <c r="AM46" s="217"/>
      <c r="AN46" s="48"/>
      <c r="AO46" s="225"/>
      <c r="AP46" s="224"/>
      <c r="AQ46" s="216"/>
    </row>
    <row r="47" spans="2:43" s="48" customFormat="1" ht="30.2" customHeight="1">
      <c r="B47" s="61" t="s">
        <v>15</v>
      </c>
      <c r="C47" s="62">
        <v>1</v>
      </c>
      <c r="D47" s="519" t="s">
        <v>21</v>
      </c>
      <c r="E47" s="468" t="s">
        <v>553</v>
      </c>
      <c r="F47" s="398">
        <v>45</v>
      </c>
      <c r="G47" s="178">
        <f>'D 1.1'!D21</f>
        <v>0</v>
      </c>
      <c r="H47" s="28"/>
      <c r="I47" s="28"/>
      <c r="J47" s="28"/>
      <c r="K47" s="28"/>
      <c r="L47" s="28"/>
      <c r="M47" s="28"/>
      <c r="N47" s="28"/>
      <c r="O47" s="28"/>
      <c r="P47" s="28"/>
      <c r="Q47" s="208"/>
      <c r="R47" s="719"/>
      <c r="S47" s="226"/>
      <c r="T47" s="77"/>
      <c r="U47" s="227"/>
      <c r="V47" s="208"/>
      <c r="W47" s="719"/>
      <c r="X47" s="76"/>
      <c r="Y47" s="77"/>
      <c r="Z47" s="227"/>
      <c r="AA47" s="208"/>
      <c r="AB47" s="719"/>
      <c r="AC47" s="226"/>
      <c r="AD47" s="76"/>
      <c r="AE47" s="227"/>
      <c r="AF47" s="208"/>
      <c r="AG47" s="719"/>
      <c r="AH47" s="76"/>
      <c r="AI47" s="76"/>
      <c r="AJ47" s="227"/>
      <c r="AK47" s="208"/>
      <c r="AL47" s="719"/>
      <c r="AM47" s="226"/>
      <c r="AN47" s="76"/>
      <c r="AO47" s="227"/>
      <c r="AP47" s="208"/>
      <c r="AQ47" s="216"/>
    </row>
    <row r="48" spans="2:43" s="48" customFormat="1" ht="30.2" customHeight="1">
      <c r="B48" s="470" t="s">
        <v>15</v>
      </c>
      <c r="C48" s="471" t="s">
        <v>11</v>
      </c>
      <c r="D48" s="520" t="s">
        <v>408</v>
      </c>
      <c r="E48" s="371" t="s">
        <v>409</v>
      </c>
      <c r="F48" s="399">
        <v>15</v>
      </c>
      <c r="G48" s="397">
        <f>'D 1.2'!C6</f>
        <v>0</v>
      </c>
      <c r="H48" s="28"/>
      <c r="I48" s="28"/>
      <c r="J48" s="28"/>
      <c r="K48" s="28"/>
      <c r="L48" s="28"/>
      <c r="M48" s="28"/>
      <c r="N48" s="28"/>
      <c r="O48" s="28"/>
      <c r="P48" s="28"/>
      <c r="Q48" s="208"/>
      <c r="R48" s="720"/>
      <c r="S48" s="226"/>
      <c r="T48" s="77"/>
      <c r="U48" s="227"/>
      <c r="V48" s="208"/>
      <c r="W48" s="720"/>
      <c r="X48" s="76"/>
      <c r="Y48" s="77"/>
      <c r="Z48" s="227"/>
      <c r="AA48" s="208"/>
      <c r="AB48" s="720"/>
      <c r="AC48" s="226"/>
      <c r="AD48" s="76"/>
      <c r="AE48" s="227"/>
      <c r="AF48" s="208"/>
      <c r="AG48" s="720"/>
      <c r="AH48" s="76"/>
      <c r="AI48" s="76"/>
      <c r="AJ48" s="227"/>
      <c r="AK48" s="208"/>
      <c r="AL48" s="720"/>
      <c r="AM48" s="226"/>
      <c r="AN48" s="76"/>
      <c r="AO48" s="227"/>
      <c r="AP48" s="208"/>
      <c r="AQ48" s="712"/>
    </row>
    <row r="49" spans="2:44" s="48" customFormat="1" ht="30.2" customHeight="1">
      <c r="B49" s="470" t="s">
        <v>15</v>
      </c>
      <c r="C49" s="471" t="s">
        <v>11</v>
      </c>
      <c r="D49" s="520" t="s">
        <v>529</v>
      </c>
      <c r="E49" s="468" t="s">
        <v>530</v>
      </c>
      <c r="F49" s="399">
        <v>15</v>
      </c>
      <c r="G49" s="397">
        <f>'D 1.3'!C6</f>
        <v>0</v>
      </c>
      <c r="H49" s="28"/>
      <c r="I49" s="28"/>
      <c r="J49" s="28"/>
      <c r="K49" s="28"/>
      <c r="L49" s="28"/>
      <c r="M49" s="28"/>
      <c r="N49" s="28"/>
      <c r="O49" s="28"/>
      <c r="P49" s="28"/>
      <c r="Q49" s="208"/>
      <c r="R49" s="720"/>
      <c r="S49" s="226"/>
      <c r="T49" s="77"/>
      <c r="U49" s="227"/>
      <c r="V49" s="208"/>
      <c r="W49" s="720"/>
      <c r="X49" s="76"/>
      <c r="Y49" s="77"/>
      <c r="Z49" s="227"/>
      <c r="AA49" s="208"/>
      <c r="AB49" s="720"/>
      <c r="AC49" s="226"/>
      <c r="AD49" s="76"/>
      <c r="AE49" s="227"/>
      <c r="AF49" s="208"/>
      <c r="AG49" s="720"/>
      <c r="AH49" s="76"/>
      <c r="AI49" s="76"/>
      <c r="AJ49" s="227"/>
      <c r="AK49" s="208"/>
      <c r="AL49" s="720"/>
      <c r="AM49" s="226"/>
      <c r="AN49" s="76"/>
      <c r="AO49" s="227"/>
      <c r="AP49" s="208"/>
      <c r="AQ49" s="712"/>
    </row>
    <row r="50" spans="2:44" ht="30.2" customHeight="1">
      <c r="B50" s="524" t="str">
        <f>B$45</f>
        <v>D</v>
      </c>
      <c r="C50" s="518">
        <v>2</v>
      </c>
      <c r="D50" s="515"/>
      <c r="E50" s="73" t="s">
        <v>16</v>
      </c>
      <c r="F50" s="338">
        <v>205</v>
      </c>
      <c r="G50" s="339">
        <f>IF(SUM(G51:G52)&lt;205,SUM(G51:G52),205)</f>
        <v>0</v>
      </c>
      <c r="Q50" s="228"/>
      <c r="R50" s="719"/>
      <c r="S50" s="217"/>
      <c r="T50" s="50"/>
      <c r="U50" s="214"/>
      <c r="V50" s="228"/>
      <c r="W50" s="719"/>
      <c r="X50" s="48"/>
      <c r="Y50" s="50"/>
      <c r="Z50" s="214"/>
      <c r="AA50" s="228"/>
      <c r="AB50" s="719"/>
      <c r="AC50" s="217"/>
      <c r="AD50" s="48"/>
      <c r="AE50" s="214"/>
      <c r="AF50" s="228"/>
      <c r="AG50" s="719"/>
      <c r="AH50" s="48"/>
      <c r="AI50" s="48"/>
      <c r="AJ50" s="214"/>
      <c r="AK50" s="228"/>
      <c r="AL50" s="719"/>
      <c r="AM50" s="217"/>
      <c r="AN50" s="48"/>
      <c r="AO50" s="214"/>
      <c r="AP50" s="228"/>
      <c r="AQ50" s="216"/>
    </row>
    <row r="51" spans="2:44" ht="30.2" customHeight="1">
      <c r="B51" s="61" t="str">
        <f>B$45</f>
        <v>D</v>
      </c>
      <c r="C51" s="521">
        <v>2</v>
      </c>
      <c r="D51" s="522">
        <v>1</v>
      </c>
      <c r="E51" s="81" t="s">
        <v>600</v>
      </c>
      <c r="F51" s="37">
        <v>165</v>
      </c>
      <c r="G51" s="178">
        <f>'D 2.1'!B8</f>
        <v>0</v>
      </c>
      <c r="Q51" s="229"/>
      <c r="R51" s="716"/>
      <c r="S51" s="209"/>
      <c r="U51" s="218"/>
      <c r="V51" s="229"/>
      <c r="W51" s="716"/>
      <c r="Z51" s="218"/>
      <c r="AA51" s="229"/>
      <c r="AB51" s="716"/>
      <c r="AC51" s="209"/>
      <c r="AE51" s="218"/>
      <c r="AF51" s="229"/>
      <c r="AG51" s="716"/>
      <c r="AJ51" s="218"/>
      <c r="AK51" s="229"/>
      <c r="AL51" s="716"/>
      <c r="AM51" s="209"/>
      <c r="AO51" s="218"/>
      <c r="AP51" s="229"/>
      <c r="AQ51" s="198"/>
      <c r="AR51" s="209"/>
    </row>
    <row r="52" spans="2:44" ht="30.2" customHeight="1" thickBot="1">
      <c r="B52" s="523" t="s">
        <v>15</v>
      </c>
      <c r="C52" s="331">
        <v>2</v>
      </c>
      <c r="D52" s="70">
        <v>2</v>
      </c>
      <c r="E52" s="78" t="s">
        <v>385</v>
      </c>
      <c r="F52" s="82">
        <v>55</v>
      </c>
      <c r="G52" s="83">
        <f>'D 2.2'!B5</f>
        <v>0</v>
      </c>
      <c r="Q52" s="230"/>
      <c r="R52" s="721"/>
      <c r="V52" s="230"/>
      <c r="W52" s="728"/>
      <c r="X52" s="209"/>
      <c r="AA52" s="230"/>
      <c r="AB52" s="721"/>
      <c r="AF52" s="230"/>
      <c r="AG52" s="728"/>
      <c r="AH52" s="209"/>
      <c r="AK52" s="230"/>
      <c r="AL52" s="721"/>
      <c r="AP52" s="230"/>
      <c r="AQ52" s="713"/>
      <c r="AR52" s="209"/>
    </row>
    <row r="53" spans="2:44" ht="32.25" customHeight="1" thickBot="1">
      <c r="B53" s="235"/>
      <c r="C53" s="200"/>
      <c r="D53" s="324"/>
      <c r="E53" s="269" t="s">
        <v>10</v>
      </c>
      <c r="F53" s="270">
        <v>1000</v>
      </c>
      <c r="G53" s="271"/>
      <c r="Q53" s="232"/>
      <c r="R53" s="231"/>
      <c r="V53" s="233"/>
      <c r="W53" s="231"/>
      <c r="AA53" s="233"/>
      <c r="AB53" s="231"/>
      <c r="AF53" s="233"/>
      <c r="AG53" s="231"/>
      <c r="AK53" s="233"/>
      <c r="AL53" s="231"/>
      <c r="AP53" s="233"/>
      <c r="AQ53" s="231"/>
    </row>
    <row r="54" spans="2:44" ht="15.75">
      <c r="B54" s="235"/>
      <c r="C54" s="200"/>
      <c r="D54" s="324"/>
      <c r="E54" s="234"/>
      <c r="F54" s="235"/>
    </row>
    <row r="55" spans="2:44" ht="15.75">
      <c r="E55" s="234"/>
    </row>
    <row r="56" spans="2:44" ht="15.75">
      <c r="E56" s="234"/>
    </row>
    <row r="57" spans="2:44" ht="15.75">
      <c r="E57" s="234"/>
    </row>
    <row r="58" spans="2:44" ht="15.75">
      <c r="E58" s="234"/>
    </row>
    <row r="59" spans="2:44" ht="15.75">
      <c r="E59" s="234"/>
    </row>
  </sheetData>
  <sheetProtection selectLockedCells="1"/>
  <mergeCells count="15">
    <mergeCell ref="B1:G1"/>
    <mergeCell ref="B9:D10"/>
    <mergeCell ref="E9:E10"/>
    <mergeCell ref="F8:G8"/>
    <mergeCell ref="C3:G3"/>
    <mergeCell ref="B5:D5"/>
    <mergeCell ref="AD3:AD4"/>
    <mergeCell ref="AI3:AI4"/>
    <mergeCell ref="AN3:AN4"/>
    <mergeCell ref="E7:G7"/>
    <mergeCell ref="J3:J7"/>
    <mergeCell ref="K3:M7"/>
    <mergeCell ref="O3:O4"/>
    <mergeCell ref="T3:T4"/>
    <mergeCell ref="Y3:Y4"/>
  </mergeCells>
  <phoneticPr fontId="13" type="noConversion"/>
  <conditionalFormatting sqref="B18:D19 E19:F19">
    <cfRule type="expression" dxfId="20" priority="2" stopIfTrue="1">
      <formula>#REF!="n"</formula>
    </cfRule>
  </conditionalFormatting>
  <conditionalFormatting sqref="B49:D49">
    <cfRule type="expression" dxfId="19" priority="1" stopIfTrue="1">
      <formula>#REF!="n"</formula>
    </cfRule>
  </conditionalFormatting>
  <conditionalFormatting sqref="B52:D52">
    <cfRule type="expression" dxfId="18" priority="5" stopIfTrue="1">
      <formula>#REF!="n"</formula>
    </cfRule>
  </conditionalFormatting>
  <conditionalFormatting sqref="F30:F36">
    <cfRule type="expression" dxfId="17" priority="24" stopIfTrue="1">
      <formula>#REF!="n"</formula>
    </cfRule>
  </conditionalFormatting>
  <conditionalFormatting sqref="F40:F41 D41">
    <cfRule type="expression" dxfId="16" priority="3" stopIfTrue="1">
      <formula>#REF!="n"</formula>
    </cfRule>
  </conditionalFormatting>
  <conditionalFormatting sqref="H13:P15">
    <cfRule type="expression" dxfId="15" priority="6" stopIfTrue="1">
      <formula>#REF!="n"</formula>
    </cfRule>
  </conditionalFormatting>
  <conditionalFormatting sqref="J28">
    <cfRule type="expression" dxfId="14" priority="4" stopIfTrue="1">
      <formula>#REF!="n"</formula>
    </cfRule>
  </conditionalFormatting>
  <conditionalFormatting sqref="R12:S20">
    <cfRule type="expression" dxfId="13" priority="23" stopIfTrue="1">
      <formula>#REF!="n"</formula>
    </cfRule>
  </conditionalFormatting>
  <conditionalFormatting sqref="T28:U28 R40:U41 R51:U52">
    <cfRule type="expression" dxfId="12" priority="11" stopIfTrue="1">
      <formula>#REF!="n"</formula>
    </cfRule>
  </conditionalFormatting>
  <conditionalFormatting sqref="V22 V29 V37">
    <cfRule type="expression" dxfId="11" priority="20" stopIfTrue="1">
      <formula>#REF!="n"</formula>
    </cfRule>
  </conditionalFormatting>
  <conditionalFormatting sqref="W12:X20 AB12:AC20 AG12:AI20 AL12:AN20 AQ12:AQ20 T14:U20 Y14:Z20 AE14:AE20 AJ14:AJ20 AO14:AO20 Q22 Q29 R30:U37 W30:Z37 AB30:AE37 AG30:AJ37 AL30:AO37 AQ30:AQ37 Q37 F51:F52">
    <cfRule type="expression" dxfId="10" priority="22" stopIfTrue="1">
      <formula>#REF!="n"</formula>
    </cfRule>
  </conditionalFormatting>
  <conditionalFormatting sqref="Y28:Z28 W40:Z41 W51:Z52">
    <cfRule type="expression" dxfId="9" priority="10" stopIfTrue="1">
      <formula>#REF!="n"</formula>
    </cfRule>
  </conditionalFormatting>
  <conditionalFormatting sqref="AA22 AA29 AA37">
    <cfRule type="expression" dxfId="8" priority="18" stopIfTrue="1">
      <formula>#REF!="n"</formula>
    </cfRule>
  </conditionalFormatting>
  <conditionalFormatting sqref="AE28 AB40:AE41 AB51:AE52">
    <cfRule type="expression" dxfId="7" priority="9" stopIfTrue="1">
      <formula>#REF!="n"</formula>
    </cfRule>
  </conditionalFormatting>
  <conditionalFormatting sqref="AF22 AF29 AF37">
    <cfRule type="expression" dxfId="6" priority="16" stopIfTrue="1">
      <formula>#REF!="n"</formula>
    </cfRule>
  </conditionalFormatting>
  <conditionalFormatting sqref="AJ28 AG40:AJ41 AG51:AJ52">
    <cfRule type="expression" dxfId="5" priority="8" stopIfTrue="1">
      <formula>#REF!="n"</formula>
    </cfRule>
  </conditionalFormatting>
  <conditionalFormatting sqref="AK22 AK29 AK37">
    <cfRule type="expression" dxfId="4" priority="14" stopIfTrue="1">
      <formula>#REF!="n"</formula>
    </cfRule>
  </conditionalFormatting>
  <conditionalFormatting sqref="AO28 AL40:AO41 AL51:AO52">
    <cfRule type="expression" dxfId="3" priority="7" stopIfTrue="1">
      <formula>#REF!="n"</formula>
    </cfRule>
  </conditionalFormatting>
  <conditionalFormatting sqref="AP22 AP29 AP37">
    <cfRule type="expression" dxfId="2" priority="12" stopIfTrue="1">
      <formula>#REF!="n"</formula>
    </cfRule>
  </conditionalFormatting>
  <conditionalFormatting sqref="AQ40:AQ41 AQ51:AQ52">
    <cfRule type="expression" dxfId="1" priority="13" stopIfTrue="1">
      <formula>#REF!="n"</formula>
    </cfRule>
  </conditionalFormatting>
  <conditionalFormatting sqref="AQ16:AR16 A12:D18 E13:F19 B19:D19 E12:G12 AR12:IU15 AD15:AD20 AV16:IU16 I16:P18 H17:H18 AR17:IU18 B22:D22 G22 B23:E26 F23:F28 H27:P27 B27:D28 G29 A29:A36 H29:P36 AR29:IU36 B30:E34 B35:D36 C37:G37 A39:A40 H39:P40 AR39:IU40 B40:D40 D43 F43 B47:D48 H47:P50 A50:A51 AR50:IU51 B51:D51">
    <cfRule type="expression" dxfId="0" priority="34" stopIfTrue="1">
      <formula>#REF!="n"</formula>
    </cfRule>
  </conditionalFormatting>
  <dataValidations xWindow="1586" yWindow="650" count="3">
    <dataValidation type="list" allowBlank="1" showInputMessage="1" showErrorMessage="1" errorTitle="Falscher Wert!" error="Bitte geben Sie die Zahl 0, 5, 10 oder 15 ein." prompt="Kein Wirtschaftlichkeitskriterium erfüllt (0 Punkte)_x000a_Ein Wirtschaftlichkeitskriterium erfüllt (5 Punkte)_x000a_Zwei Wirtschaftlichkeitskriterien erfüllt (10 Punkte)" sqref="G13">
      <formula1>$H$12:$H$14</formula1>
    </dataValidation>
    <dataValidation type="list" allowBlank="1" showInputMessage="1" showErrorMessage="1" prompt="Kein KGA Ziel erreicht (0 Punkte)_x000a_&gt;=850 KGA Ziel erreicht (50 Punkte)_x000a_&gt;=750 KGA Ziel erreicht (25 Punkte)_x000a_oder alt. Vergabeverf. (15 Punkte)_x000a__x000a_" sqref="G12">
      <formula1>$H$16:$H$19</formula1>
    </dataValidation>
    <dataValidation type="list" allowBlank="1" showInputMessage="1" showErrorMessage="1" sqref="E5">
      <formula1>$H$21:$H$22</formula1>
    </dataValidation>
  </dataValidations>
  <printOptions horizontalCentered="1"/>
  <pageMargins left="0.59055118110236227" right="0.59055118110236227" top="0.59055118110236227" bottom="0.59055118110236227" header="0.31496062992125984" footer="0.31496062992125984"/>
  <pageSetup paperSize="9" scale="49" fitToWidth="0" orientation="portrait" r:id="rId1"/>
  <ignoredErrors>
    <ignoredError sqref="D4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H6"/>
  <sheetViews>
    <sheetView showGridLines="0" zoomScale="70" zoomScaleNormal="85" workbookViewId="0">
      <selection activeCell="E5" sqref="E5"/>
    </sheetView>
  </sheetViews>
  <sheetFormatPr baseColWidth="10" defaultColWidth="11.42578125" defaultRowHeight="12.75"/>
  <cols>
    <col min="1" max="1" width="97.5703125" style="152" customWidth="1"/>
    <col min="2" max="2" width="11.42578125" style="153"/>
    <col min="3" max="3" width="11.42578125" style="152" customWidth="1"/>
    <col min="4" max="4" width="11.42578125" style="152" hidden="1" customWidth="1"/>
    <col min="5" max="5" width="30.7109375" style="153" customWidth="1"/>
    <col min="6" max="6" width="11.42578125" style="152"/>
    <col min="7" max="7" width="18.85546875" style="152" customWidth="1"/>
    <col min="8" max="8" width="13.42578125" style="152" customWidth="1"/>
    <col min="9" max="16384" width="11.42578125" style="152"/>
  </cols>
  <sheetData>
    <row r="1" spans="1:8" s="139" customFormat="1" ht="24.95" customHeight="1">
      <c r="A1" s="807" t="s">
        <v>410</v>
      </c>
      <c r="B1" s="1014"/>
      <c r="C1" s="1014"/>
      <c r="D1" s="1014"/>
      <c r="E1" s="101"/>
      <c r="G1" s="743" t="s">
        <v>592</v>
      </c>
      <c r="H1" s="623"/>
    </row>
    <row r="2" spans="1:8" s="138" customFormat="1" ht="7.5" customHeight="1" thickBot="1">
      <c r="A2" s="299"/>
      <c r="B2" s="95"/>
      <c r="C2" s="95"/>
      <c r="D2" s="147"/>
      <c r="E2" s="101"/>
      <c r="G2" s="627"/>
      <c r="H2" s="627"/>
    </row>
    <row r="3" spans="1:8" s="138" customFormat="1" ht="38.25">
      <c r="A3" s="400" t="s">
        <v>32</v>
      </c>
      <c r="B3" s="148" t="s">
        <v>446</v>
      </c>
      <c r="C3" s="149" t="s">
        <v>34</v>
      </c>
      <c r="D3" s="138">
        <v>0</v>
      </c>
      <c r="E3" s="668" t="s">
        <v>254</v>
      </c>
      <c r="G3" s="744" t="s">
        <v>593</v>
      </c>
      <c r="H3" s="745">
        <v>1000</v>
      </c>
    </row>
    <row r="4" spans="1:8" s="138" customFormat="1" ht="74.25" customHeight="1" thickBot="1">
      <c r="A4" s="350" t="s">
        <v>590</v>
      </c>
      <c r="B4" s="374">
        <v>10</v>
      </c>
      <c r="C4" s="4"/>
      <c r="D4" s="138">
        <v>10</v>
      </c>
      <c r="E4" s="681"/>
      <c r="G4" s="746" t="s">
        <v>594</v>
      </c>
      <c r="H4" s="747">
        <v>200</v>
      </c>
    </row>
    <row r="5" spans="1:8" s="138" customFormat="1" ht="45" customHeight="1" thickBot="1">
      <c r="A5" s="622" t="s">
        <v>591</v>
      </c>
      <c r="B5" s="374">
        <v>5</v>
      </c>
      <c r="C5" s="377"/>
      <c r="D5" s="138">
        <v>0</v>
      </c>
      <c r="E5" s="681"/>
      <c r="G5" s="748" t="s">
        <v>595</v>
      </c>
      <c r="H5" s="749">
        <f>H4/H3</f>
        <v>0.2</v>
      </c>
    </row>
    <row r="6" spans="1:8" s="151" customFormat="1" ht="24.95" customHeight="1" thickBot="1">
      <c r="A6" s="319" t="s">
        <v>33</v>
      </c>
      <c r="B6" s="248"/>
      <c r="C6" s="279">
        <f>IF(SUM(C4:C5)&lt;15, SUM(C4:C5),15)</f>
        <v>0</v>
      </c>
      <c r="D6" s="151">
        <v>5</v>
      </c>
      <c r="E6" s="669"/>
    </row>
  </sheetData>
  <sheetProtection algorithmName="SHA-512" hashValue="aoE86kLzIAEP2vJhSqPNjxQli8MAqvM8qxrwEHEC+ADiKCb+SRhBxEMKG0F85j/aZBrbCmYth+Bl/EYJFSl4sg==" saltValue="pA/4AJehcKtFQkcbYijQaw==" spinCount="100000" sheet="1" selectLockedCells="1"/>
  <mergeCells count="1">
    <mergeCell ref="A1:D1"/>
  </mergeCells>
  <dataValidations count="2">
    <dataValidation type="list" allowBlank="1" showInputMessage="1" showErrorMessage="1" errorTitle="Falscher Wert!" error="Bitte geben Sie die Zahl 0 oder 5 ein." sqref="C5">
      <formula1>$D$5:$D$6</formula1>
    </dataValidation>
    <dataValidation type="list" allowBlank="1" showInputMessage="1" showErrorMessage="1" errorTitle="Falscher Wert!" error="Bitte geben Sie die Zahl 0 oder 5 ein." sqref="C4">
      <formula1>$D$3:$D$4</formula1>
    </dataValidation>
  </dataValidations>
  <printOptions horizontalCentered="1"/>
  <pageMargins left="0.59055118110236227" right="0.59055118110236227" top="0.59055118110236227" bottom="0.59055118110236227" header="0.31496062992125984" footer="0.31496062992125984"/>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63" workbookViewId="0">
      <selection activeCell="C5" sqref="C5"/>
    </sheetView>
  </sheetViews>
  <sheetFormatPr baseColWidth="10" defaultColWidth="11.42578125" defaultRowHeight="12.75"/>
  <cols>
    <col min="1" max="1" width="97" style="620" customWidth="1"/>
    <col min="2" max="2" width="11.42578125" style="640"/>
    <col min="3" max="3" width="11.7109375" style="620" customWidth="1"/>
    <col min="4" max="4" width="18.5703125" style="620" hidden="1" customWidth="1"/>
    <col min="5" max="5" width="30.7109375" style="670" customWidth="1"/>
    <col min="6" max="16384" width="11.42578125" style="620"/>
  </cols>
  <sheetData>
    <row r="1" spans="1:6" s="623" customFormat="1" ht="33.75" customHeight="1">
      <c r="A1" s="1034" t="s">
        <v>541</v>
      </c>
      <c r="B1" s="1035"/>
      <c r="C1" s="1035"/>
      <c r="D1" s="1035"/>
      <c r="E1" s="673"/>
    </row>
    <row r="2" spans="1:6" s="627" customFormat="1" ht="16.5" thickBot="1">
      <c r="A2" s="624"/>
      <c r="B2" s="625"/>
      <c r="C2" s="625"/>
      <c r="D2" s="626"/>
      <c r="E2" s="670"/>
    </row>
    <row r="3" spans="1:6" s="627" customFormat="1" ht="38.25">
      <c r="A3" s="628" t="s">
        <v>32</v>
      </c>
      <c r="B3" s="629" t="s">
        <v>446</v>
      </c>
      <c r="C3" s="630" t="s">
        <v>34</v>
      </c>
      <c r="D3" s="627">
        <v>0</v>
      </c>
      <c r="E3" s="671" t="s">
        <v>254</v>
      </c>
      <c r="F3" s="631"/>
    </row>
    <row r="4" spans="1:6" s="627" customFormat="1" ht="30.2" customHeight="1">
      <c r="A4" s="622" t="s">
        <v>542</v>
      </c>
      <c r="B4" s="632">
        <v>10</v>
      </c>
      <c r="C4" s="633"/>
      <c r="D4" s="627">
        <v>0</v>
      </c>
      <c r="E4" s="703"/>
    </row>
    <row r="5" spans="1:6" ht="30.2" customHeight="1">
      <c r="A5" s="627" t="s">
        <v>543</v>
      </c>
      <c r="B5" s="634">
        <v>5</v>
      </c>
      <c r="C5" s="635"/>
      <c r="D5" s="620">
        <v>10</v>
      </c>
      <c r="E5" s="703"/>
    </row>
    <row r="6" spans="1:6" s="639" customFormat="1" ht="30.2" customHeight="1" thickBot="1">
      <c r="A6" s="636" t="s">
        <v>33</v>
      </c>
      <c r="B6" s="637"/>
      <c r="C6" s="638">
        <f>IF(SUM(C4:C5)&lt;15, SUM(C4:C5),15)</f>
        <v>0</v>
      </c>
      <c r="D6" s="627">
        <v>0</v>
      </c>
      <c r="E6" s="672"/>
    </row>
    <row r="7" spans="1:6">
      <c r="D7" s="620">
        <v>5</v>
      </c>
    </row>
    <row r="8" spans="1:6">
      <c r="E8" s="674"/>
    </row>
  </sheetData>
  <sheetProtection algorithmName="SHA-512" hashValue="PUs9A8QCfi4ULkWtwB4jWz4zYKw8FRJn2gET8EsWL+NGu7qL80qJybBXGJ4hxqAVPGoBS19rVCPT+RHidGmrCA==" saltValue="GAx6y3zQUMzScds1mK1XAg==" spinCount="100000" sheet="1" objects="1" scenarios="1"/>
  <mergeCells count="1">
    <mergeCell ref="A1:D1"/>
  </mergeCells>
  <dataValidations count="2">
    <dataValidation type="list" allowBlank="1" showInputMessage="1" showErrorMessage="1" errorTitle="Falscher Wert!" error="Bitte geben Sie die Zahl 0 oder 5 ein." sqref="C4">
      <formula1>$D$4:$D$5</formula1>
    </dataValidation>
    <dataValidation type="list" allowBlank="1" showInputMessage="1" showErrorMessage="1" errorTitle="Falscher Wert!" error="Bitte geben Sie die Zahl 0 oder 5 ein." sqref="C5 C5">
      <formula1>$D$6:$D$7</formula1>
    </dataValidation>
  </dataValidations>
  <pageMargins left="0.7" right="0.7" top="0.78740157499999996" bottom="0.78740157499999996"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I15"/>
  <sheetViews>
    <sheetView showGridLines="0" zoomScaleNormal="100" workbookViewId="0">
      <selection activeCell="B4" sqref="B4"/>
    </sheetView>
  </sheetViews>
  <sheetFormatPr baseColWidth="10" defaultColWidth="11.42578125" defaultRowHeight="12.75"/>
  <cols>
    <col min="1" max="1" width="61.7109375" style="93" customWidth="1"/>
    <col min="2" max="2" width="23.85546875" style="93" customWidth="1"/>
    <col min="3" max="3" width="30.7109375" style="153" customWidth="1"/>
    <col min="4" max="4" width="2.7109375" style="93" customWidth="1"/>
    <col min="5" max="5" width="12.5703125" style="93" hidden="1" customWidth="1"/>
    <col min="6" max="6" width="16.7109375" style="93" hidden="1" customWidth="1"/>
    <col min="7" max="9" width="11.42578125" style="93" hidden="1" customWidth="1"/>
    <col min="10" max="16384" width="11.42578125" style="93"/>
  </cols>
  <sheetData>
    <row r="1" spans="1:9" ht="31.7" customHeight="1" thickBot="1">
      <c r="A1" s="807" t="s">
        <v>420</v>
      </c>
      <c r="B1" s="807"/>
      <c r="C1" s="101"/>
      <c r="D1" s="103"/>
      <c r="F1" s="1036" t="s">
        <v>226</v>
      </c>
      <c r="G1" s="1037"/>
      <c r="H1" s="1038"/>
    </row>
    <row r="2" spans="1:9" ht="15" customHeight="1" thickBot="1">
      <c r="A2" s="254"/>
      <c r="B2" s="94"/>
    </row>
    <row r="3" spans="1:9" s="96" customFormat="1" ht="23.1" customHeight="1">
      <c r="A3" s="256" t="s">
        <v>32</v>
      </c>
      <c r="B3" s="251" t="s">
        <v>6</v>
      </c>
      <c r="C3" s="675" t="s">
        <v>254</v>
      </c>
      <c r="F3" s="596"/>
      <c r="G3" s="597" t="s">
        <v>423</v>
      </c>
      <c r="H3" s="598" t="s">
        <v>6</v>
      </c>
    </row>
    <row r="4" spans="1:9" s="96" customFormat="1" ht="23.1" customHeight="1">
      <c r="A4" s="252" t="s">
        <v>421</v>
      </c>
      <c r="B4" s="351"/>
      <c r="C4" s="704"/>
      <c r="F4" s="599" t="s">
        <v>516</v>
      </c>
      <c r="G4" s="600">
        <v>700</v>
      </c>
      <c r="H4" s="601">
        <v>0</v>
      </c>
    </row>
    <row r="5" spans="1:9" s="99" customFormat="1" ht="23.1" customHeight="1" thickBot="1">
      <c r="A5" s="96" t="s">
        <v>599</v>
      </c>
      <c r="B5" s="351"/>
      <c r="C5" s="683"/>
      <c r="F5" s="599" t="s">
        <v>517</v>
      </c>
      <c r="G5" s="600">
        <v>150</v>
      </c>
      <c r="H5" s="601">
        <v>110</v>
      </c>
    </row>
    <row r="6" spans="1:9" ht="16.5" thickBot="1">
      <c r="A6" s="750" t="s">
        <v>612</v>
      </c>
      <c r="B6" s="751">
        <f>IF(B4="",0,IF(B4&lt;=G5,H5,IF(B4&gt;G4,0,ROUND(H5+(H4-H5)/(G4-G5)*(B4-G5),H4))))</f>
        <v>0</v>
      </c>
      <c r="C6" s="676"/>
    </row>
    <row r="7" spans="1:9" ht="16.5" thickBot="1">
      <c r="A7" s="253" t="s">
        <v>613</v>
      </c>
      <c r="B7" s="752">
        <f>IF(B5="",0,IF(B5&lt;=G15,H15,IF(B5&gt;G13,0,ROUND(H15+(H13-H15)/(G13-G15)*(B5-G15),H13))))</f>
        <v>0</v>
      </c>
    </row>
    <row r="8" spans="1:9" ht="16.5" thickBot="1">
      <c r="A8" s="253" t="s">
        <v>614</v>
      </c>
      <c r="B8" s="753">
        <f>SUM(B6:B7)</f>
        <v>0</v>
      </c>
    </row>
    <row r="9" spans="1:9" ht="13.5" thickBot="1"/>
    <row r="10" spans="1:9" ht="15.75" thickBot="1">
      <c r="F10" s="1036" t="s">
        <v>226</v>
      </c>
      <c r="G10" s="1037"/>
      <c r="H10" s="1038"/>
      <c r="I10" s="731"/>
    </row>
    <row r="11" spans="1:9" ht="13.5" thickBot="1">
      <c r="F11" s="731"/>
      <c r="G11" s="731"/>
      <c r="H11" s="731"/>
      <c r="I11" s="731"/>
    </row>
    <row r="12" spans="1:9">
      <c r="F12" s="596"/>
      <c r="G12" s="597" t="s">
        <v>423</v>
      </c>
      <c r="H12" s="598" t="s">
        <v>6</v>
      </c>
      <c r="I12" s="731"/>
    </row>
    <row r="13" spans="1:9" ht="15.75">
      <c r="F13" s="599" t="s">
        <v>596</v>
      </c>
      <c r="G13" s="773">
        <v>650</v>
      </c>
      <c r="H13" s="601">
        <v>0</v>
      </c>
      <c r="I13" s="731"/>
    </row>
    <row r="14" spans="1:9" ht="15.75">
      <c r="F14" s="599"/>
      <c r="G14" s="600"/>
      <c r="H14" s="601"/>
      <c r="I14" s="731"/>
    </row>
    <row r="15" spans="1:9" ht="15.75">
      <c r="F15" s="599" t="s">
        <v>597</v>
      </c>
      <c r="G15" s="600">
        <v>50</v>
      </c>
      <c r="H15" s="772">
        <v>55</v>
      </c>
      <c r="I15" s="731" t="s">
        <v>598</v>
      </c>
    </row>
  </sheetData>
  <sheetProtection algorithmName="SHA-512" hashValue="ladXtlSm+AK3RXl78RFqHAz7TcgXlhYotjiA43OgntUvNbLDMkGinibXd2m+Q0RoHGhZV74ZbVphRiRKU6DiOA==" saltValue="xEd47k9RjyDXDm7st0GX5Q==" spinCount="100000" sheet="1" selectLockedCells="1"/>
  <mergeCells count="3">
    <mergeCell ref="A1:B1"/>
    <mergeCell ref="F1:H1"/>
    <mergeCell ref="F10:H10"/>
  </mergeCells>
  <printOptions horizontalCentered="1"/>
  <pageMargins left="0.59055118110236227" right="0.59055118110236227" top="0.59055118110236227" bottom="0.59055118110236227" header="0.31496062992125984" footer="0.31496062992125984"/>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H6"/>
  <sheetViews>
    <sheetView showGridLines="0" zoomScale="79" zoomScaleNormal="115" workbookViewId="0">
      <selection activeCell="B4" sqref="B4"/>
    </sheetView>
  </sheetViews>
  <sheetFormatPr baseColWidth="10" defaultColWidth="11.42578125" defaultRowHeight="12.75"/>
  <cols>
    <col min="1" max="1" width="75.85546875" style="93" customWidth="1"/>
    <col min="2" max="2" width="23.85546875" style="93" customWidth="1"/>
    <col min="3" max="3" width="30.7109375" style="154" customWidth="1"/>
    <col min="4" max="4" width="2.7109375" style="93" customWidth="1"/>
    <col min="5" max="8" width="11.42578125" style="93" hidden="1" customWidth="1"/>
    <col min="9" max="9" width="0" style="93" hidden="1" customWidth="1"/>
    <col min="10" max="16384" width="11.42578125" style="93"/>
  </cols>
  <sheetData>
    <row r="1" spans="1:8" ht="23.1" customHeight="1" thickBot="1">
      <c r="A1" s="807" t="s">
        <v>386</v>
      </c>
      <c r="B1" s="807"/>
      <c r="C1" s="139"/>
      <c r="D1" s="103"/>
      <c r="F1" s="1036" t="s">
        <v>226</v>
      </c>
      <c r="G1" s="1037"/>
      <c r="H1" s="1038"/>
    </row>
    <row r="2" spans="1:8" ht="15" customHeight="1" thickBot="1">
      <c r="A2" s="254"/>
      <c r="B2" s="94"/>
    </row>
    <row r="3" spans="1:8" s="96" customFormat="1" ht="23.1" customHeight="1">
      <c r="A3" s="258" t="s">
        <v>32</v>
      </c>
      <c r="B3" s="257" t="s">
        <v>6</v>
      </c>
      <c r="C3" s="352" t="s">
        <v>254</v>
      </c>
      <c r="F3" s="596"/>
      <c r="G3" s="597" t="s">
        <v>423</v>
      </c>
      <c r="H3" s="598" t="s">
        <v>6</v>
      </c>
    </row>
    <row r="4" spans="1:8" s="96" customFormat="1" ht="23.1" customHeight="1">
      <c r="A4" s="259" t="s">
        <v>387</v>
      </c>
      <c r="B4" s="353"/>
      <c r="C4" s="709"/>
      <c r="F4" s="599" t="s">
        <v>518</v>
      </c>
      <c r="G4" s="600">
        <v>20</v>
      </c>
      <c r="H4" s="601">
        <v>0</v>
      </c>
    </row>
    <row r="5" spans="1:8" s="99" customFormat="1" ht="23.1" customHeight="1" thickBot="1">
      <c r="A5" s="253" t="s">
        <v>615</v>
      </c>
      <c r="B5" s="255">
        <f>IF(B4="",0,IF(B4&lt;=G5,H5,IF(B4&gt;G4,0,ROUND(H4+(H5/(G5-G4)*(B4-G4)),H4))))</f>
        <v>0</v>
      </c>
      <c r="C5" s="250"/>
      <c r="F5" s="599" t="s">
        <v>519</v>
      </c>
      <c r="G5" s="600">
        <v>8</v>
      </c>
      <c r="H5" s="601">
        <v>55</v>
      </c>
    </row>
    <row r="6" spans="1:8">
      <c r="A6" s="354"/>
    </row>
  </sheetData>
  <sheetProtection algorithmName="SHA-512" hashValue="g3AzdjOdZ4YVl4VerLQIU16/cOWUSCEj1KBgPe9DkcMBKHc4w7Ic3pdD9f1gxS/nE2PiXaU9RfEmtqSoA1mYOA==" saltValue="4m3Fy3Z9rQWlRYuUiymrVA==" spinCount="100000" sheet="1" selectLockedCells="1"/>
  <mergeCells count="2">
    <mergeCell ref="A1:B1"/>
    <mergeCell ref="F1:H1"/>
  </mergeCells>
  <printOptions horizontalCentered="1"/>
  <pageMargins left="0.59055118110236227" right="0.59055118110236227" top="0.59055118110236227" bottom="0.59055118110236227"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H24"/>
  <sheetViews>
    <sheetView showGridLines="0" tabSelected="1" zoomScale="85" zoomScaleNormal="85" workbookViewId="0">
      <selection activeCell="D10" sqref="D10:D11"/>
    </sheetView>
  </sheetViews>
  <sheetFormatPr baseColWidth="10" defaultColWidth="11.42578125" defaultRowHeight="12.75"/>
  <cols>
    <col min="1" max="1" width="86.42578125" style="93" customWidth="1"/>
    <col min="2" max="2" width="17.42578125" style="93" customWidth="1"/>
    <col min="3" max="3" width="17.42578125" style="731" customWidth="1"/>
    <col min="4" max="4" width="15.7109375" style="96" customWidth="1"/>
    <col min="5" max="5" width="10.7109375" style="93" hidden="1" customWidth="1"/>
    <col min="6" max="6" width="17" style="93" hidden="1" customWidth="1"/>
    <col min="7" max="7" width="30.7109375" style="100" customWidth="1"/>
    <col min="8" max="16384" width="11.42578125" style="93"/>
  </cols>
  <sheetData>
    <row r="1" spans="1:8" ht="24.95" customHeight="1">
      <c r="A1" s="807" t="s">
        <v>535</v>
      </c>
      <c r="B1" s="807"/>
      <c r="C1" s="807"/>
      <c r="D1" s="807"/>
      <c r="E1" s="807"/>
      <c r="F1" s="807"/>
      <c r="G1" s="807"/>
    </row>
    <row r="2" spans="1:8" ht="7.5" customHeight="1" thickBot="1">
      <c r="A2" s="94"/>
      <c r="B2" s="94"/>
      <c r="C2" s="94"/>
      <c r="D2" s="95"/>
    </row>
    <row r="3" spans="1:8" ht="42.75" customHeight="1">
      <c r="A3" s="132" t="s">
        <v>32</v>
      </c>
      <c r="B3" s="814" t="s">
        <v>561</v>
      </c>
      <c r="C3" s="815"/>
      <c r="D3" s="342" t="s">
        <v>34</v>
      </c>
      <c r="G3" s="646" t="s">
        <v>254</v>
      </c>
    </row>
    <row r="4" spans="1:8" s="96" customFormat="1" ht="24.95" customHeight="1">
      <c r="A4" s="756" t="s">
        <v>380</v>
      </c>
      <c r="B4" s="816">
        <v>10</v>
      </c>
      <c r="C4" s="817"/>
      <c r="D4" s="808"/>
      <c r="E4" s="96">
        <v>0</v>
      </c>
      <c r="F4" s="96">
        <v>10</v>
      </c>
      <c r="G4" s="810"/>
      <c r="H4" s="369"/>
    </row>
    <row r="5" spans="1:8" s="96" customFormat="1" ht="24.95" customHeight="1">
      <c r="A5" s="734" t="s">
        <v>603</v>
      </c>
      <c r="B5" s="818"/>
      <c r="C5" s="819"/>
      <c r="D5" s="809"/>
      <c r="E5" s="343"/>
      <c r="F5" s="343"/>
      <c r="G5" s="811"/>
    </row>
    <row r="6" spans="1:8" s="96" customFormat="1" ht="24.95" customHeight="1">
      <c r="A6" s="757" t="s">
        <v>562</v>
      </c>
      <c r="B6" s="820" t="s">
        <v>571</v>
      </c>
      <c r="C6" s="821"/>
      <c r="D6" s="826"/>
      <c r="E6" s="343"/>
      <c r="F6" s="343"/>
      <c r="G6" s="829"/>
    </row>
    <row r="7" spans="1:8" s="96" customFormat="1" ht="49.7" customHeight="1">
      <c r="A7" s="276" t="s">
        <v>563</v>
      </c>
      <c r="B7" s="822" t="s">
        <v>575</v>
      </c>
      <c r="C7" s="817"/>
      <c r="D7" s="827"/>
      <c r="E7" s="343">
        <v>0</v>
      </c>
      <c r="F7" s="343"/>
      <c r="G7" s="830"/>
    </row>
    <row r="8" spans="1:8" s="96" customFormat="1" ht="38.25" customHeight="1">
      <c r="A8" s="812" t="s">
        <v>601</v>
      </c>
      <c r="B8" s="823"/>
      <c r="C8" s="824"/>
      <c r="D8" s="827"/>
      <c r="E8" s="343">
        <v>10</v>
      </c>
      <c r="F8" s="343">
        <v>0</v>
      </c>
      <c r="G8" s="830"/>
    </row>
    <row r="9" spans="1:8" s="96" customFormat="1" ht="56.25" customHeight="1">
      <c r="A9" s="813"/>
      <c r="B9" s="825"/>
      <c r="C9" s="819"/>
      <c r="D9" s="828"/>
      <c r="E9" s="343">
        <v>15</v>
      </c>
      <c r="F9" s="343">
        <v>10</v>
      </c>
      <c r="G9" s="831"/>
    </row>
    <row r="10" spans="1:8" s="96" customFormat="1" ht="24.95" customHeight="1">
      <c r="A10" s="756" t="s">
        <v>564</v>
      </c>
      <c r="B10" s="840" t="s">
        <v>571</v>
      </c>
      <c r="C10" s="841"/>
      <c r="D10" s="838"/>
      <c r="E10" s="343">
        <v>20</v>
      </c>
      <c r="F10" s="343">
        <v>30</v>
      </c>
      <c r="G10" s="832"/>
    </row>
    <row r="11" spans="1:8" s="96" customFormat="1" ht="46.5" customHeight="1">
      <c r="A11" s="241" t="s">
        <v>616</v>
      </c>
      <c r="B11" s="842">
        <v>20</v>
      </c>
      <c r="C11" s="843"/>
      <c r="D11" s="839"/>
      <c r="E11" s="343">
        <v>25</v>
      </c>
      <c r="F11" s="343">
        <v>0</v>
      </c>
      <c r="G11" s="833"/>
    </row>
    <row r="12" spans="1:8" s="96" customFormat="1" ht="28.5" customHeight="1">
      <c r="A12" s="835" t="s">
        <v>572</v>
      </c>
      <c r="B12" s="836"/>
      <c r="C12" s="837"/>
      <c r="D12" s="838"/>
      <c r="E12" s="343">
        <v>30</v>
      </c>
      <c r="F12" s="343">
        <v>20</v>
      </c>
      <c r="G12" s="834"/>
    </row>
    <row r="13" spans="1:8" s="96" customFormat="1" ht="0.75" hidden="1" customHeight="1">
      <c r="A13" s="241" t="s">
        <v>359</v>
      </c>
      <c r="B13" s="849"/>
      <c r="C13" s="850"/>
      <c r="D13" s="848"/>
      <c r="E13" s="343">
        <v>0</v>
      </c>
      <c r="F13" s="343"/>
      <c r="G13" s="834"/>
    </row>
    <row r="14" spans="1:8" s="96" customFormat="1" ht="20.25" hidden="1" customHeight="1">
      <c r="A14" s="241" t="s">
        <v>383</v>
      </c>
      <c r="B14" s="823">
        <v>30</v>
      </c>
      <c r="C14" s="824"/>
      <c r="D14" s="848"/>
      <c r="E14" s="343">
        <v>10</v>
      </c>
      <c r="F14" s="343"/>
      <c r="G14" s="834"/>
    </row>
    <row r="15" spans="1:8" s="96" customFormat="1" ht="42.75" customHeight="1">
      <c r="A15" s="241" t="s">
        <v>565</v>
      </c>
      <c r="B15" s="823">
        <v>30</v>
      </c>
      <c r="C15" s="824"/>
      <c r="D15" s="848"/>
      <c r="E15" s="343">
        <v>10</v>
      </c>
      <c r="F15" s="343">
        <v>30</v>
      </c>
      <c r="G15" s="834"/>
    </row>
    <row r="16" spans="1:8" s="96" customFormat="1" ht="41.25" customHeight="1">
      <c r="A16" s="735" t="s">
        <v>566</v>
      </c>
      <c r="B16" s="825">
        <v>10</v>
      </c>
      <c r="C16" s="819"/>
      <c r="D16" s="839"/>
      <c r="E16" s="343"/>
      <c r="F16" s="343"/>
      <c r="G16" s="833"/>
    </row>
    <row r="17" spans="1:7" s="99" customFormat="1" ht="64.5" customHeight="1">
      <c r="A17" s="756" t="s">
        <v>567</v>
      </c>
      <c r="B17" s="846" t="s">
        <v>573</v>
      </c>
      <c r="C17" s="817" t="s">
        <v>574</v>
      </c>
      <c r="D17" s="844"/>
      <c r="E17" s="343">
        <v>0</v>
      </c>
      <c r="F17" s="343">
        <v>0</v>
      </c>
      <c r="G17" s="774"/>
    </row>
    <row r="18" spans="1:7" ht="74.25" customHeight="1">
      <c r="A18" s="755" t="s">
        <v>568</v>
      </c>
      <c r="B18" s="847"/>
      <c r="C18" s="819"/>
      <c r="D18" s="845"/>
      <c r="E18" s="343">
        <v>8</v>
      </c>
      <c r="F18" s="343">
        <v>3</v>
      </c>
      <c r="G18" s="774"/>
    </row>
    <row r="19" spans="1:7" ht="24.95" customHeight="1">
      <c r="A19" s="241" t="s">
        <v>555</v>
      </c>
      <c r="B19" s="736">
        <v>16</v>
      </c>
      <c r="C19" s="737">
        <v>8</v>
      </c>
      <c r="D19" s="402"/>
      <c r="E19" s="343">
        <v>16</v>
      </c>
      <c r="F19" s="343">
        <v>6</v>
      </c>
      <c r="G19" s="774"/>
    </row>
    <row r="20" spans="1:7" ht="24.95" customHeight="1">
      <c r="A20" s="241" t="s">
        <v>556</v>
      </c>
      <c r="B20" s="736">
        <v>6</v>
      </c>
      <c r="C20" s="738">
        <v>3</v>
      </c>
      <c r="D20" s="402"/>
      <c r="E20" s="343">
        <v>0</v>
      </c>
      <c r="F20" s="343"/>
      <c r="G20" s="774"/>
    </row>
    <row r="21" spans="1:7" ht="18" customHeight="1">
      <c r="A21" s="733" t="s">
        <v>569</v>
      </c>
      <c r="B21" s="736">
        <v>10</v>
      </c>
      <c r="C21" s="738">
        <v>5</v>
      </c>
      <c r="D21" s="402"/>
      <c r="E21" s="343">
        <v>5</v>
      </c>
      <c r="F21" s="343"/>
      <c r="G21" s="774"/>
    </row>
    <row r="22" spans="1:7" ht="43.5" customHeight="1">
      <c r="A22" s="241" t="s">
        <v>570</v>
      </c>
      <c r="B22" s="736">
        <v>10</v>
      </c>
      <c r="C22" s="738">
        <v>5</v>
      </c>
      <c r="D22" s="732">
        <v>0</v>
      </c>
      <c r="E22" s="99">
        <v>10</v>
      </c>
      <c r="F22" s="99"/>
      <c r="G22" s="775"/>
    </row>
    <row r="23" spans="1:7" ht="16.5" thickBot="1">
      <c r="A23" s="459" t="s">
        <v>33</v>
      </c>
      <c r="B23" s="460"/>
      <c r="C23" s="460"/>
      <c r="D23" s="282">
        <f>IF(SUM(D4:D22)&lt;120,SUM(D4:D22),120)</f>
        <v>0</v>
      </c>
      <c r="G23" s="647"/>
    </row>
    <row r="24" spans="1:7">
      <c r="A24" s="21"/>
    </row>
  </sheetData>
  <sheetProtection algorithmName="SHA-512" hashValue="pxlwOcJqQdTn48u/2rKqMvOoZKIO7LjR3fKxsMON8hEz0+5PlEUkoGpd8Tvp1mua2TDtxDSv+xw4bSCw4pC/ZA==" saltValue="nEvIlc50kj2qJKFYlm+H4Q==" spinCount="100000" sheet="1" selectLockedCells="1"/>
  <mergeCells count="24">
    <mergeCell ref="D17:D18"/>
    <mergeCell ref="B16:C16"/>
    <mergeCell ref="B15:C15"/>
    <mergeCell ref="B17:B18"/>
    <mergeCell ref="C17:C18"/>
    <mergeCell ref="D12:D16"/>
    <mergeCell ref="B14:C14"/>
    <mergeCell ref="B13:C13"/>
    <mergeCell ref="G10:G11"/>
    <mergeCell ref="G12:G16"/>
    <mergeCell ref="A12:C12"/>
    <mergeCell ref="D10:D11"/>
    <mergeCell ref="B10:C10"/>
    <mergeCell ref="B11:C11"/>
    <mergeCell ref="A1:G1"/>
    <mergeCell ref="D4:D5"/>
    <mergeCell ref="G4:G5"/>
    <mergeCell ref="A8:A9"/>
    <mergeCell ref="B3:C3"/>
    <mergeCell ref="B4:C5"/>
    <mergeCell ref="B6:C6"/>
    <mergeCell ref="B7:C9"/>
    <mergeCell ref="D6:D9"/>
    <mergeCell ref="G6:G9"/>
  </mergeCells>
  <phoneticPr fontId="44" type="noConversion"/>
  <dataValidations count="8">
    <dataValidation type="list" allowBlank="1" showInputMessage="1" showErrorMessage="1" errorTitle="Falscher Wert!" error="Bitte geben Sie die Zahl 0 oder 10 ein." sqref="D20">
      <formula1>$F$17:$F$19</formula1>
    </dataValidation>
    <dataValidation type="list" allowBlank="1" showInputMessage="1" showErrorMessage="1" errorTitle="Falscher Wert!" error="Bitte geben Sie die Zahl 0 oder 5 ein." sqref="D22">
      <formula1>$E$20:$E$22</formula1>
    </dataValidation>
    <dataValidation type="list" allowBlank="1" showInputMessage="1" showErrorMessage="1" sqref="D4:D5">
      <formula1>$E$4:$F$4</formula1>
    </dataValidation>
    <dataValidation type="list" allowBlank="1" showInputMessage="1" showErrorMessage="1" errorTitle="Falscher Wert!" error="Bitte geben Sie die Zahl 0,10,15 oder 20 ein." sqref="D6">
      <formula1>$E$7:$E$12</formula1>
    </dataValidation>
    <dataValidation type="list" allowBlank="1" showInputMessage="1" showErrorMessage="1" errorTitle="Falscher Wert!" error="Bitte geben Sie die Zahl 0,10,25 oder 35 ein." sqref="D12:D16">
      <formula1>$F$8:$F$10</formula1>
    </dataValidation>
    <dataValidation type="list" allowBlank="1" showInputMessage="1" showErrorMessage="1" errorTitle="Falscher Wert!" error="Bitte geben Sie die Zahl 0 oder 10 ein." sqref="D19">
      <formula1>$E$17:$E$19</formula1>
    </dataValidation>
    <dataValidation type="list" allowBlank="1" showInputMessage="1" showErrorMessage="1" errorTitle="Falscher Wert!" error="Bitte geben Sie die Zahl 0 oder 5 ein." sqref="D21">
      <formula1>$E$20:$E$22</formula1>
    </dataValidation>
    <dataValidation type="list" allowBlank="1" showInputMessage="1" showErrorMessage="1" errorTitle="Falscher Wert!" error="Bitte geben Sie die Zahl 0,10,15 oder 20 ein." sqref="D10:D11">
      <formula1>$F$11:$F$12</formula1>
    </dataValidation>
  </dataValidations>
  <printOptions horizontalCentered="1"/>
  <pageMargins left="0.59055118110236227" right="0.59055118110236227" top="0.59055118110236227" bottom="0.59055118110236227" header="0.31496062992125984" footer="0.31496062992125984"/>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O39"/>
  <sheetViews>
    <sheetView showGridLines="0" topLeftCell="C10" zoomScale="70" zoomScaleNormal="70" workbookViewId="0">
      <selection activeCell="E34" sqref="E34"/>
    </sheetView>
  </sheetViews>
  <sheetFormatPr baseColWidth="10" defaultColWidth="11.42578125" defaultRowHeight="12.75"/>
  <cols>
    <col min="1" max="1" width="26.140625" style="93" customWidth="1"/>
    <col min="2" max="2" width="57.85546875" style="93" customWidth="1"/>
    <col min="3" max="3" width="70.140625" style="93" customWidth="1"/>
    <col min="4" max="4" width="11.42578125" style="93"/>
    <col min="5" max="5" width="15.7109375" style="96" customWidth="1"/>
    <col min="6" max="6" width="4.140625" style="93" hidden="1" customWidth="1"/>
    <col min="7" max="7" width="7.85546875" style="93" hidden="1" customWidth="1"/>
    <col min="8" max="8" width="6" style="93" hidden="1" customWidth="1"/>
    <col min="9" max="9" width="7.42578125" style="93" hidden="1" customWidth="1"/>
    <col min="10" max="10" width="30.7109375" style="100" customWidth="1"/>
    <col min="11" max="13" width="11.42578125" style="93"/>
    <col min="14" max="14" width="25.42578125" style="93" customWidth="1"/>
    <col min="15" max="15" width="20" style="93" customWidth="1"/>
    <col min="16" max="16384" width="11.42578125" style="93"/>
  </cols>
  <sheetData>
    <row r="1" spans="1:10" ht="24.95" customHeight="1">
      <c r="A1" s="807" t="s">
        <v>534</v>
      </c>
      <c r="B1" s="807"/>
      <c r="C1" s="807"/>
      <c r="D1" s="807"/>
      <c r="E1" s="807"/>
      <c r="F1" s="807"/>
      <c r="G1" s="807"/>
      <c r="H1" s="807"/>
      <c r="I1" s="807"/>
      <c r="J1" s="807"/>
    </row>
    <row r="2" spans="1:10" ht="7.5" customHeight="1" thickBot="1">
      <c r="A2" s="94"/>
      <c r="B2" s="94"/>
      <c r="C2" s="94"/>
      <c r="D2" s="94"/>
      <c r="E2" s="95"/>
    </row>
    <row r="3" spans="1:10" ht="24" customHeight="1">
      <c r="A3" s="883" t="s">
        <v>495</v>
      </c>
      <c r="B3" s="884"/>
      <c r="C3" s="884"/>
      <c r="D3" s="884"/>
      <c r="E3" s="885"/>
      <c r="J3" s="648" t="s">
        <v>254</v>
      </c>
    </row>
    <row r="4" spans="1:10" s="96" customFormat="1" ht="24.95" customHeight="1">
      <c r="A4" s="880" t="s">
        <v>494</v>
      </c>
      <c r="B4" s="878" t="s">
        <v>503</v>
      </c>
      <c r="C4" s="276" t="s">
        <v>498</v>
      </c>
      <c r="D4" s="487" t="s">
        <v>489</v>
      </c>
      <c r="E4" s="592"/>
      <c r="J4" s="681"/>
    </row>
    <row r="5" spans="1:10" s="96" customFormat="1" ht="24.95" customHeight="1" thickBot="1">
      <c r="A5" s="886"/>
      <c r="B5" s="879"/>
      <c r="C5" s="505" t="s">
        <v>488</v>
      </c>
      <c r="D5" s="506" t="s">
        <v>489</v>
      </c>
      <c r="E5" s="593"/>
      <c r="G5" s="887" t="str">
        <f>IF(ISNUMBER(E5),E4/E5,"Keine Eingabe")</f>
        <v>Keine Eingabe</v>
      </c>
      <c r="H5" s="887"/>
      <c r="J5" s="681"/>
    </row>
    <row r="6" spans="1:10" ht="7.5" customHeight="1" thickBot="1">
      <c r="A6" s="94"/>
      <c r="B6" s="94"/>
      <c r="C6" s="94"/>
      <c r="D6" s="94"/>
      <c r="E6" s="95"/>
    </row>
    <row r="7" spans="1:10" ht="42.75" customHeight="1">
      <c r="A7" s="132" t="s">
        <v>297</v>
      </c>
      <c r="B7" s="275" t="s">
        <v>298</v>
      </c>
      <c r="C7" s="275" t="s">
        <v>299</v>
      </c>
      <c r="D7" s="347" t="s">
        <v>487</v>
      </c>
      <c r="E7" s="495" t="s">
        <v>34</v>
      </c>
      <c r="J7" s="648" t="s">
        <v>254</v>
      </c>
    </row>
    <row r="8" spans="1:10" s="96" customFormat="1" ht="35.1" customHeight="1">
      <c r="A8" s="870" t="s">
        <v>289</v>
      </c>
      <c r="B8" s="276" t="s">
        <v>400</v>
      </c>
      <c r="C8" s="276" t="s">
        <v>290</v>
      </c>
      <c r="D8" s="493">
        <v>4</v>
      </c>
      <c r="E8" s="494"/>
      <c r="F8" s="96">
        <v>0</v>
      </c>
      <c r="G8" s="96">
        <v>4</v>
      </c>
      <c r="J8" s="681"/>
    </row>
    <row r="9" spans="1:10" s="96" customFormat="1" ht="24" customHeight="1">
      <c r="A9" s="871"/>
      <c r="B9" s="758" t="s">
        <v>291</v>
      </c>
      <c r="C9" s="759"/>
      <c r="D9" s="760" t="s">
        <v>292</v>
      </c>
      <c r="E9" s="454">
        <f>SUM(E8)</f>
        <v>0</v>
      </c>
      <c r="J9" s="681"/>
    </row>
    <row r="10" spans="1:10" s="96" customFormat="1" ht="65.099999999999994" customHeight="1">
      <c r="A10" s="880" t="s">
        <v>300</v>
      </c>
      <c r="B10" s="888" t="s">
        <v>513</v>
      </c>
      <c r="C10" s="278" t="s">
        <v>301</v>
      </c>
      <c r="D10" s="508">
        <f>IF($G$15=8,7,14)</f>
        <v>14</v>
      </c>
      <c r="E10" s="853"/>
      <c r="F10" s="96">
        <v>0</v>
      </c>
      <c r="G10" s="96">
        <f>IF($G$15=8,4,7)</f>
        <v>7</v>
      </c>
      <c r="H10" s="96">
        <f>IF($G$15=8,7,14)</f>
        <v>14</v>
      </c>
      <c r="I10" s="343"/>
      <c r="J10" s="855"/>
    </row>
    <row r="11" spans="1:10" s="96" customFormat="1" ht="65.099999999999994" customHeight="1">
      <c r="A11" s="881"/>
      <c r="B11" s="866"/>
      <c r="C11" s="321" t="s">
        <v>496</v>
      </c>
      <c r="D11" s="247">
        <f>IF($G$15=8,4,7)</f>
        <v>7</v>
      </c>
      <c r="E11" s="854"/>
      <c r="I11" s="343"/>
      <c r="J11" s="856"/>
    </row>
    <row r="12" spans="1:10" s="96" customFormat="1" ht="24.95" customHeight="1">
      <c r="A12" s="881"/>
      <c r="B12" s="877" t="s">
        <v>401</v>
      </c>
      <c r="C12" s="280" t="s">
        <v>302</v>
      </c>
      <c r="D12" s="487">
        <f>IF($G$15=8,4,7)</f>
        <v>7</v>
      </c>
      <c r="E12" s="853"/>
      <c r="F12" s="96">
        <v>0</v>
      </c>
      <c r="G12" s="96">
        <f>IF($G$15=8,2,4)</f>
        <v>4</v>
      </c>
      <c r="H12" s="96">
        <f>IF($G$15=8,4,7)</f>
        <v>7</v>
      </c>
      <c r="I12" s="343"/>
      <c r="J12" s="855"/>
    </row>
    <row r="13" spans="1:10" s="96" customFormat="1" ht="24.95" customHeight="1">
      <c r="A13" s="881"/>
      <c r="B13" s="866"/>
      <c r="C13" s="321" t="s">
        <v>496</v>
      </c>
      <c r="D13" s="243">
        <f>IF($G$15=8,2,4)</f>
        <v>4</v>
      </c>
      <c r="E13" s="854"/>
      <c r="I13" s="343"/>
      <c r="J13" s="856"/>
    </row>
    <row r="14" spans="1:10" s="96" customFormat="1" ht="105" customHeight="1">
      <c r="A14" s="881"/>
      <c r="B14" s="277" t="s">
        <v>293</v>
      </c>
      <c r="C14" s="533" t="s">
        <v>497</v>
      </c>
      <c r="D14" s="480">
        <f>IF($G$15=7.5,1,2)</f>
        <v>2</v>
      </c>
      <c r="E14" s="344"/>
      <c r="F14" s="96">
        <v>0</v>
      </c>
      <c r="G14" s="96">
        <v>2</v>
      </c>
      <c r="I14" s="343"/>
      <c r="J14" s="681"/>
    </row>
    <row r="15" spans="1:10" s="96" customFormat="1" ht="23.25" customHeight="1">
      <c r="A15" s="882"/>
      <c r="B15" s="867" t="s">
        <v>504</v>
      </c>
      <c r="C15" s="868"/>
      <c r="D15" s="761" t="str">
        <f>IF(G15=8,"Max. 8","Max. 16")</f>
        <v>Max. 16</v>
      </c>
      <c r="E15" s="454">
        <f>IF(SUM(E10:E14)&lt;G15,SUM(E10:E14),G15)</f>
        <v>0</v>
      </c>
      <c r="F15" s="343"/>
      <c r="G15" s="507">
        <f>IF($G$5&lt;0.5,8,16)</f>
        <v>16</v>
      </c>
      <c r="H15" s="343"/>
      <c r="I15" s="343"/>
      <c r="J15" s="681"/>
    </row>
    <row r="16" spans="1:10" s="96" customFormat="1" ht="30.95" customHeight="1">
      <c r="A16" s="870" t="s">
        <v>502</v>
      </c>
      <c r="B16" s="874" t="s">
        <v>545</v>
      </c>
      <c r="C16" s="278" t="s">
        <v>295</v>
      </c>
      <c r="D16" s="487">
        <v>5</v>
      </c>
      <c r="E16" s="857"/>
      <c r="F16" s="343">
        <v>0</v>
      </c>
      <c r="G16" s="343">
        <v>3</v>
      </c>
      <c r="H16" s="343">
        <v>5</v>
      </c>
      <c r="I16" s="343"/>
      <c r="J16" s="855"/>
    </row>
    <row r="17" spans="1:15" s="96" customFormat="1" ht="24.95" customHeight="1">
      <c r="A17" s="862"/>
      <c r="B17" s="889"/>
      <c r="C17" s="321" t="s">
        <v>477</v>
      </c>
      <c r="D17" s="481">
        <v>3</v>
      </c>
      <c r="E17" s="854"/>
      <c r="F17" s="343"/>
      <c r="G17" s="343"/>
      <c r="H17" s="343"/>
      <c r="I17" s="343"/>
      <c r="J17" s="856"/>
    </row>
    <row r="18" spans="1:15" s="96" customFormat="1" ht="22.7" customHeight="1">
      <c r="A18" s="871"/>
      <c r="B18" s="867" t="s">
        <v>504</v>
      </c>
      <c r="C18" s="868"/>
      <c r="D18" s="761" t="s">
        <v>476</v>
      </c>
      <c r="E18" s="454">
        <f>E16</f>
        <v>0</v>
      </c>
      <c r="J18" s="681"/>
    </row>
    <row r="19" spans="1:15" s="96" customFormat="1" ht="24.95" customHeight="1">
      <c r="A19" s="861" t="s">
        <v>364</v>
      </c>
      <c r="B19" s="864" t="s">
        <v>363</v>
      </c>
      <c r="C19" s="278" t="s">
        <v>402</v>
      </c>
      <c r="D19" s="487">
        <v>4</v>
      </c>
      <c r="E19" s="344"/>
      <c r="F19" s="343">
        <v>0</v>
      </c>
      <c r="G19" s="343">
        <v>4</v>
      </c>
      <c r="H19" s="343"/>
      <c r="I19" s="343"/>
      <c r="J19" s="681"/>
    </row>
    <row r="20" spans="1:15" s="96" customFormat="1" ht="38.25">
      <c r="A20" s="862"/>
      <c r="B20" s="865"/>
      <c r="C20" s="276" t="s">
        <v>546</v>
      </c>
      <c r="D20" s="487">
        <v>4</v>
      </c>
      <c r="E20" s="853"/>
      <c r="F20" s="343">
        <v>0</v>
      </c>
      <c r="G20" s="343">
        <v>2</v>
      </c>
      <c r="H20" s="343">
        <v>4</v>
      </c>
      <c r="I20" s="343"/>
      <c r="J20" s="855"/>
    </row>
    <row r="21" spans="1:15" s="96" customFormat="1" ht="25.5">
      <c r="A21" s="862"/>
      <c r="B21" s="865"/>
      <c r="C21" s="321" t="s">
        <v>547</v>
      </c>
      <c r="D21" s="481">
        <v>2</v>
      </c>
      <c r="E21" s="854"/>
      <c r="F21" s="343"/>
      <c r="G21" s="343"/>
      <c r="H21" s="343"/>
      <c r="I21" s="343"/>
      <c r="J21" s="856"/>
    </row>
    <row r="22" spans="1:15" s="96" customFormat="1" ht="42.6" customHeight="1">
      <c r="A22" s="862"/>
      <c r="B22" s="865"/>
      <c r="C22" s="276" t="s">
        <v>576</v>
      </c>
      <c r="D22" s="487">
        <v>4</v>
      </c>
      <c r="E22" s="853"/>
      <c r="F22" s="343">
        <v>0</v>
      </c>
      <c r="G22" s="343">
        <v>2</v>
      </c>
      <c r="H22" s="343">
        <v>4</v>
      </c>
      <c r="I22" s="343"/>
      <c r="J22" s="855"/>
    </row>
    <row r="23" spans="1:15" s="96" customFormat="1" ht="45" customHeight="1">
      <c r="A23" s="862"/>
      <c r="B23" s="865"/>
      <c r="C23" s="321" t="s">
        <v>548</v>
      </c>
      <c r="D23" s="481">
        <v>2</v>
      </c>
      <c r="E23" s="854"/>
      <c r="F23" s="343"/>
      <c r="G23" s="343"/>
      <c r="H23" s="343"/>
      <c r="I23" s="343"/>
      <c r="J23" s="856"/>
    </row>
    <row r="24" spans="1:15" s="96" customFormat="1" ht="24.95" customHeight="1">
      <c r="A24" s="862"/>
      <c r="B24" s="865"/>
      <c r="C24" s="890" t="s">
        <v>412</v>
      </c>
      <c r="D24" s="823">
        <v>2</v>
      </c>
      <c r="E24" s="857"/>
      <c r="F24" s="343">
        <v>0</v>
      </c>
      <c r="G24" s="343">
        <v>2</v>
      </c>
      <c r="H24" s="343"/>
      <c r="I24" s="343"/>
      <c r="J24" s="860"/>
    </row>
    <row r="25" spans="1:15" s="96" customFormat="1">
      <c r="A25" s="862"/>
      <c r="B25" s="866"/>
      <c r="C25" s="891"/>
      <c r="D25" s="825"/>
      <c r="E25" s="854"/>
      <c r="F25" s="343"/>
      <c r="G25" s="343"/>
      <c r="H25" s="343"/>
      <c r="I25" s="343"/>
      <c r="J25" s="860"/>
    </row>
    <row r="26" spans="1:15" s="96" customFormat="1" ht="24.95" customHeight="1">
      <c r="A26" s="863"/>
      <c r="B26" s="867" t="s">
        <v>504</v>
      </c>
      <c r="C26" s="868"/>
      <c r="D26" s="760" t="s">
        <v>499</v>
      </c>
      <c r="E26" s="454">
        <f>IF(SUM(E19:E25)&lt;12,SUM(E19:E25),12)</f>
        <v>0</v>
      </c>
      <c r="J26" s="681"/>
    </row>
    <row r="27" spans="1:15" s="96" customFormat="1" ht="24.95" customHeight="1">
      <c r="A27" s="870" t="s">
        <v>403</v>
      </c>
      <c r="B27" s="874" t="s">
        <v>404</v>
      </c>
      <c r="C27" s="396" t="s">
        <v>405</v>
      </c>
      <c r="D27" s="488">
        <v>3</v>
      </c>
      <c r="E27" s="344"/>
      <c r="F27" s="96">
        <v>0</v>
      </c>
      <c r="G27" s="96">
        <v>3</v>
      </c>
      <c r="J27" s="681"/>
    </row>
    <row r="28" spans="1:15" s="96" customFormat="1" ht="24.95" customHeight="1">
      <c r="A28" s="872"/>
      <c r="B28" s="875"/>
      <c r="C28" s="396" t="s">
        <v>406</v>
      </c>
      <c r="D28" s="488">
        <v>2</v>
      </c>
      <c r="E28" s="344"/>
      <c r="F28" s="96">
        <v>0</v>
      </c>
      <c r="G28" s="96">
        <v>2</v>
      </c>
      <c r="J28" s="681"/>
    </row>
    <row r="29" spans="1:15" s="96" customFormat="1" ht="24.95" customHeight="1">
      <c r="A29" s="873"/>
      <c r="B29" s="876"/>
      <c r="C29" s="395" t="s">
        <v>407</v>
      </c>
      <c r="D29" s="488">
        <v>1</v>
      </c>
      <c r="E29" s="344"/>
      <c r="F29" s="96">
        <v>0</v>
      </c>
      <c r="G29" s="96">
        <v>1</v>
      </c>
      <c r="J29" s="681"/>
    </row>
    <row r="30" spans="1:15" s="96" customFormat="1" ht="24.95" customHeight="1" thickBot="1">
      <c r="A30" s="403"/>
      <c r="B30" s="867" t="s">
        <v>504</v>
      </c>
      <c r="C30" s="868"/>
      <c r="D30" s="760" t="s">
        <v>422</v>
      </c>
      <c r="E30" s="454">
        <f>SUM(E27:E29)</f>
        <v>0</v>
      </c>
      <c r="J30" s="681"/>
      <c r="N30" s="762" t="s">
        <v>604</v>
      </c>
    </row>
    <row r="31" spans="1:15" s="96" customFormat="1" ht="30.2" customHeight="1" thickBot="1">
      <c r="A31" s="870" t="s">
        <v>478</v>
      </c>
      <c r="B31" s="864" t="s">
        <v>296</v>
      </c>
      <c r="C31" s="492" t="s">
        <v>479</v>
      </c>
      <c r="D31" s="489">
        <v>8</v>
      </c>
      <c r="E31" s="853"/>
      <c r="F31" s="343">
        <v>0</v>
      </c>
      <c r="G31" s="343">
        <v>2</v>
      </c>
      <c r="H31" s="343">
        <v>5</v>
      </c>
      <c r="I31" s="343">
        <v>8</v>
      </c>
      <c r="J31" s="855"/>
      <c r="N31" s="754"/>
      <c r="O31" s="763" t="s">
        <v>605</v>
      </c>
    </row>
    <row r="32" spans="1:15" s="96" customFormat="1" ht="30.2" customHeight="1">
      <c r="A32" s="862"/>
      <c r="B32" s="864"/>
      <c r="C32" s="491" t="s">
        <v>481</v>
      </c>
      <c r="D32" s="490">
        <v>5</v>
      </c>
      <c r="E32" s="857"/>
      <c r="F32" s="343"/>
      <c r="G32" s="343"/>
      <c r="H32" s="343"/>
      <c r="I32" s="343"/>
      <c r="J32" s="869"/>
      <c r="N32" s="764" t="s">
        <v>606</v>
      </c>
      <c r="O32" s="765"/>
    </row>
    <row r="33" spans="1:15" s="96" customFormat="1" ht="30.2" customHeight="1">
      <c r="A33" s="862"/>
      <c r="B33" s="866"/>
      <c r="C33" s="321" t="s">
        <v>480</v>
      </c>
      <c r="D33" s="243">
        <v>2</v>
      </c>
      <c r="E33" s="854"/>
      <c r="F33" s="343"/>
      <c r="G33" s="343"/>
      <c r="H33" s="343"/>
      <c r="I33" s="343"/>
      <c r="J33" s="856"/>
      <c r="N33" s="766" t="s">
        <v>607</v>
      </c>
      <c r="O33" s="765"/>
    </row>
    <row r="34" spans="1:15" s="96" customFormat="1" ht="68.25" customHeight="1">
      <c r="A34" s="862"/>
      <c r="B34" s="277" t="s">
        <v>482</v>
      </c>
      <c r="C34" s="536" t="s">
        <v>549</v>
      </c>
      <c r="D34" s="374">
        <v>5</v>
      </c>
      <c r="E34" s="344"/>
      <c r="F34" s="343">
        <v>0</v>
      </c>
      <c r="G34" s="343">
        <v>5</v>
      </c>
      <c r="H34" s="343"/>
      <c r="I34" s="343"/>
      <c r="J34" s="681"/>
      <c r="N34" s="766" t="s">
        <v>608</v>
      </c>
      <c r="O34" s="765"/>
    </row>
    <row r="35" spans="1:15" s="96" customFormat="1" ht="26.25" thickBot="1">
      <c r="A35" s="862"/>
      <c r="B35" s="277" t="s">
        <v>483</v>
      </c>
      <c r="C35" s="536" t="s">
        <v>484</v>
      </c>
      <c r="D35" s="374">
        <v>5</v>
      </c>
      <c r="E35" s="344"/>
      <c r="F35" s="343">
        <v>0</v>
      </c>
      <c r="G35" s="343">
        <v>5</v>
      </c>
      <c r="H35" s="343"/>
      <c r="I35" s="343"/>
      <c r="J35" s="681"/>
      <c r="N35" s="766" t="s">
        <v>609</v>
      </c>
      <c r="O35" s="454">
        <f>O32-O34-(O33/2)</f>
        <v>0</v>
      </c>
    </row>
    <row r="36" spans="1:15" s="96" customFormat="1" ht="30.2" customHeight="1" thickBot="1">
      <c r="A36" s="862"/>
      <c r="B36" s="594" t="s">
        <v>485</v>
      </c>
      <c r="C36" s="276" t="s">
        <v>486</v>
      </c>
      <c r="D36" s="374">
        <v>5</v>
      </c>
      <c r="E36" s="344"/>
      <c r="F36" s="343">
        <v>0</v>
      </c>
      <c r="G36" s="343">
        <v>5</v>
      </c>
      <c r="H36" s="343"/>
      <c r="I36" s="343"/>
      <c r="J36" s="681"/>
      <c r="K36" s="851"/>
      <c r="L36" s="852"/>
      <c r="M36" s="852"/>
      <c r="N36" s="767" t="s">
        <v>610</v>
      </c>
      <c r="O36" s="768" t="str">
        <f>IF(AND(ISNUMBER(O32),ISNUMBER(O35)),O35/O32,"0")</f>
        <v>0</v>
      </c>
    </row>
    <row r="37" spans="1:15" s="96" customFormat="1" ht="24.95" customHeight="1">
      <c r="A37" s="871"/>
      <c r="B37" s="867" t="s">
        <v>504</v>
      </c>
      <c r="C37" s="868"/>
      <c r="D37" s="761" t="s">
        <v>500</v>
      </c>
      <c r="E37" s="496">
        <f>IF(SUM(E31:E36)&lt;20,SUM(E31:E36),20)</f>
        <v>0</v>
      </c>
      <c r="J37" s="681"/>
    </row>
    <row r="38" spans="1:15" s="96" customFormat="1" ht="24.95" customHeight="1" thickBot="1">
      <c r="A38" s="858" t="s">
        <v>33</v>
      </c>
      <c r="B38" s="859"/>
      <c r="C38" s="859"/>
      <c r="D38" s="102"/>
      <c r="E38" s="279">
        <f>IF(SUM(E9,E15,E18,E26,E30,E37)&lt;60,SUM(E9,E15,E18,E26,E30,E37),60)</f>
        <v>0</v>
      </c>
      <c r="F38" s="99"/>
      <c r="G38" s="99"/>
      <c r="H38" s="99"/>
      <c r="I38" s="99"/>
      <c r="J38" s="649"/>
    </row>
    <row r="39" spans="1:15" s="99" customFormat="1" ht="30.2" customHeight="1">
      <c r="A39" s="103"/>
      <c r="B39" s="103"/>
      <c r="C39" s="103"/>
      <c r="D39" s="103"/>
      <c r="E39" s="104"/>
      <c r="F39" s="93"/>
      <c r="G39" s="93"/>
      <c r="H39" s="93"/>
      <c r="I39" s="93"/>
      <c r="J39" s="100"/>
    </row>
  </sheetData>
  <sheetProtection algorithmName="SHA-512" hashValue="0OrI1kehV5pIz9uy0KxfHo7b+aXZCLO+wIpjBYbi62bqzrFyGvbZVdVFV94PAORwT6vn+FBr8MipIIlv+1DIyg==" saltValue="ptXY/Krnj6bvjQuuCpGUzg==" spinCount="100000" sheet="1" selectLockedCells="1"/>
  <protectedRanges>
    <protectedRange sqref="O32:O34" name="Bereich3"/>
  </protectedRanges>
  <mergeCells count="40">
    <mergeCell ref="A16:A18"/>
    <mergeCell ref="B16:B17"/>
    <mergeCell ref="B18:C18"/>
    <mergeCell ref="B15:C15"/>
    <mergeCell ref="C24:C25"/>
    <mergeCell ref="A1:J1"/>
    <mergeCell ref="A8:A9"/>
    <mergeCell ref="B12:B13"/>
    <mergeCell ref="E10:E11"/>
    <mergeCell ref="E12:E13"/>
    <mergeCell ref="B4:B5"/>
    <mergeCell ref="A10:A15"/>
    <mergeCell ref="A3:E3"/>
    <mergeCell ref="A4:A5"/>
    <mergeCell ref="G5:H5"/>
    <mergeCell ref="B10:B11"/>
    <mergeCell ref="A38:C38"/>
    <mergeCell ref="J24:J25"/>
    <mergeCell ref="A19:A26"/>
    <mergeCell ref="B19:B25"/>
    <mergeCell ref="B26:C26"/>
    <mergeCell ref="J31:J33"/>
    <mergeCell ref="J22:J23"/>
    <mergeCell ref="A31:A37"/>
    <mergeCell ref="E24:E25"/>
    <mergeCell ref="A27:A29"/>
    <mergeCell ref="B27:B29"/>
    <mergeCell ref="B37:C37"/>
    <mergeCell ref="B30:C30"/>
    <mergeCell ref="B31:B33"/>
    <mergeCell ref="E31:E33"/>
    <mergeCell ref="D24:D25"/>
    <mergeCell ref="K36:M36"/>
    <mergeCell ref="E22:E23"/>
    <mergeCell ref="J16:J17"/>
    <mergeCell ref="J10:J11"/>
    <mergeCell ref="J12:J13"/>
    <mergeCell ref="J20:J21"/>
    <mergeCell ref="E16:E17"/>
    <mergeCell ref="E20:E21"/>
  </mergeCells>
  <dataValidations count="16">
    <dataValidation type="list" allowBlank="1" showInputMessage="1" showErrorMessage="1" sqref="E8">
      <formula1>$F$8:$G$8</formula1>
    </dataValidation>
    <dataValidation type="list" allowBlank="1" showInputMessage="1" showErrorMessage="1" sqref="E10:E11">
      <formula1>$F$10:$H$10</formula1>
    </dataValidation>
    <dataValidation type="list" allowBlank="1" showInputMessage="1" showErrorMessage="1" sqref="E12:E13">
      <formula1>$F$12:$H$12</formula1>
    </dataValidation>
    <dataValidation type="list" allowBlank="1" showInputMessage="1" showErrorMessage="1" sqref="E16:E17">
      <formula1>$F$16:$H$16</formula1>
    </dataValidation>
    <dataValidation type="list" allowBlank="1" showInputMessage="1" showErrorMessage="1" sqref="E19">
      <formula1>$F$19:$G$19</formula1>
    </dataValidation>
    <dataValidation type="list" allowBlank="1" showInputMessage="1" showErrorMessage="1" sqref="E36">
      <formula1>$F$36:$G$36</formula1>
    </dataValidation>
    <dataValidation type="list" allowBlank="1" showInputMessage="1" showErrorMessage="1" sqref="E27">
      <formula1>$F$27:$G$27</formula1>
    </dataValidation>
    <dataValidation type="list" allowBlank="1" showInputMessage="1" showErrorMessage="1" sqref="E28">
      <formula1>$F$28:$G$28</formula1>
    </dataValidation>
    <dataValidation type="list" allowBlank="1" showInputMessage="1" showErrorMessage="1" sqref="E29">
      <formula1>$F$29:$G$29</formula1>
    </dataValidation>
    <dataValidation type="list" allowBlank="1" showInputMessage="1" showErrorMessage="1" sqref="E24:E25">
      <formula1>$F$24:$G$24</formula1>
    </dataValidation>
    <dataValidation type="list" allowBlank="1" showInputMessage="1" showErrorMessage="1" sqref="E20:E21">
      <formula1>$F$20:$H$20</formula1>
    </dataValidation>
    <dataValidation type="list" allowBlank="1" showInputMessage="1" showErrorMessage="1" sqref="E22:E23">
      <formula1>$F$22:$H$22</formula1>
    </dataValidation>
    <dataValidation type="list" allowBlank="1" showInputMessage="1" showErrorMessage="1" sqref="E31:E33">
      <formula1>$F$31:$I$31</formula1>
    </dataValidation>
    <dataValidation type="list" allowBlank="1" showInputMessage="1" showErrorMessage="1" sqref="E34">
      <formula1>$F$34:$G$34</formula1>
    </dataValidation>
    <dataValidation type="list" allowBlank="1" showInputMessage="1" showErrorMessage="1" sqref="E35">
      <formula1>$F$35:$G$35</formula1>
    </dataValidation>
    <dataValidation type="list" allowBlank="1" showInputMessage="1" showErrorMessage="1" sqref="E14">
      <formula1>$F$14:$G$14</formula1>
    </dataValidation>
  </dataValidations>
  <printOptions horizontalCentered="1"/>
  <pageMargins left="0.59055118110236227" right="0.59055118110236227" top="0.59055118110236227" bottom="0.59055118110236227" header="0.31496062992125984" footer="0.31496062992125984"/>
  <pageSetup paperSize="9" scale="4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C42"/>
  <sheetViews>
    <sheetView showGridLines="0" zoomScale="85" zoomScaleNormal="85" workbookViewId="0">
      <selection activeCell="B18" sqref="B18"/>
    </sheetView>
  </sheetViews>
  <sheetFormatPr baseColWidth="10" defaultColWidth="11.42578125" defaultRowHeight="15"/>
  <cols>
    <col min="1" max="1" width="97.7109375" style="540" bestFit="1" customWidth="1"/>
    <col min="2" max="2" width="15.85546875" style="540" customWidth="1"/>
    <col min="3" max="3" width="16" style="540" customWidth="1"/>
    <col min="4" max="4" width="27.7109375" style="540" customWidth="1"/>
    <col min="5" max="5" width="6.7109375" style="540" customWidth="1"/>
    <col min="6" max="6" width="11.42578125" style="540"/>
    <col min="7" max="7" width="25.7109375" style="540" customWidth="1"/>
    <col min="8" max="8" width="43.7109375" style="540" customWidth="1"/>
    <col min="9" max="10" width="11.5703125" style="540" hidden="1" customWidth="1"/>
    <col min="11" max="11" width="35.7109375" style="578" customWidth="1"/>
    <col min="12" max="12" width="5.5703125" style="540" hidden="1" customWidth="1"/>
    <col min="13" max="13" width="6.140625" style="540" hidden="1" customWidth="1"/>
    <col min="14" max="14" width="3.28515625" style="540" hidden="1" customWidth="1"/>
    <col min="15" max="15" width="5.140625" style="540" hidden="1" customWidth="1"/>
    <col min="16" max="16" width="3.5703125" style="540" hidden="1" customWidth="1"/>
    <col min="17" max="17" width="5.42578125" style="540" hidden="1" customWidth="1"/>
    <col min="18" max="18" width="5.140625" style="540" hidden="1" customWidth="1"/>
    <col min="19" max="19" width="6.5703125" style="540" hidden="1" customWidth="1"/>
    <col min="20" max="20" width="8" style="540" hidden="1" customWidth="1"/>
    <col min="21" max="21" width="4.7109375" style="540" hidden="1" customWidth="1"/>
    <col min="22" max="22" width="7.28515625" style="540" hidden="1" customWidth="1"/>
    <col min="23" max="23" width="12.140625" style="540" customWidth="1"/>
    <col min="24" max="24" width="2.7109375" style="540" customWidth="1"/>
    <col min="25" max="26" width="22.7109375" style="540" customWidth="1"/>
    <col min="27" max="28" width="16.7109375" style="540" customWidth="1"/>
    <col min="29" max="29" width="2.7109375" style="540" customWidth="1"/>
    <col min="30" max="16384" width="11.42578125" style="540"/>
  </cols>
  <sheetData>
    <row r="1" spans="1:29" ht="23.25" customHeight="1">
      <c r="A1" s="538" t="s">
        <v>611</v>
      </c>
      <c r="B1" s="537"/>
      <c r="C1" s="537"/>
      <c r="D1" s="537"/>
      <c r="E1" s="537"/>
      <c r="F1" s="537"/>
      <c r="G1" s="537"/>
      <c r="H1" s="537"/>
      <c r="I1" s="537"/>
      <c r="J1" s="537"/>
      <c r="L1" s="537"/>
      <c r="M1" s="537"/>
      <c r="N1" s="537"/>
      <c r="O1" s="537"/>
      <c r="P1" s="537"/>
      <c r="Q1" s="537"/>
      <c r="R1" s="537"/>
      <c r="S1" s="537"/>
      <c r="T1" s="537"/>
      <c r="U1" s="537"/>
      <c r="V1" s="537"/>
      <c r="W1" s="537"/>
      <c r="X1" s="537"/>
      <c r="Y1" s="537"/>
      <c r="Z1" s="537"/>
      <c r="AA1" s="537"/>
      <c r="AB1" s="537"/>
      <c r="AC1" s="537"/>
    </row>
    <row r="2" spans="1:29" ht="8.4499999999999993" customHeight="1" thickBot="1">
      <c r="A2" s="541"/>
      <c r="B2" s="541"/>
      <c r="C2" s="541"/>
      <c r="D2" s="541"/>
      <c r="E2" s="541"/>
      <c r="F2" s="541"/>
      <c r="G2" s="541"/>
      <c r="H2" s="541"/>
      <c r="I2" s="539"/>
      <c r="J2" s="539"/>
      <c r="L2" s="537"/>
      <c r="M2" s="537"/>
      <c r="N2" s="537"/>
      <c r="O2" s="537"/>
      <c r="P2" s="537"/>
      <c r="Q2" s="537"/>
      <c r="R2" s="537"/>
      <c r="S2" s="537"/>
      <c r="T2" s="537"/>
      <c r="U2" s="537"/>
      <c r="V2" s="537"/>
      <c r="W2" s="537"/>
      <c r="X2" s="541"/>
      <c r="Y2" s="541"/>
      <c r="Z2" s="541"/>
      <c r="AA2" s="541"/>
      <c r="AB2" s="541"/>
      <c r="AC2" s="541"/>
    </row>
    <row r="3" spans="1:29" ht="24.95" customHeight="1">
      <c r="A3" s="284" t="s">
        <v>82</v>
      </c>
      <c r="B3" s="542"/>
      <c r="C3" s="542"/>
      <c r="D3" s="542"/>
      <c r="E3" s="543"/>
      <c r="F3" s="543"/>
      <c r="G3" s="542"/>
      <c r="H3" s="544"/>
      <c r="I3" s="539"/>
      <c r="J3" s="539"/>
      <c r="K3" s="650" t="s">
        <v>254</v>
      </c>
      <c r="L3" s="916" t="s">
        <v>96</v>
      </c>
      <c r="M3" s="916" t="s">
        <v>95</v>
      </c>
      <c r="N3" s="916" t="s">
        <v>94</v>
      </c>
      <c r="O3" s="916" t="s">
        <v>93</v>
      </c>
      <c r="P3" s="916" t="s">
        <v>92</v>
      </c>
      <c r="Q3" s="916" t="s">
        <v>234</v>
      </c>
      <c r="R3" s="916" t="s">
        <v>235</v>
      </c>
      <c r="S3" s="916" t="s">
        <v>236</v>
      </c>
      <c r="T3" s="916" t="s">
        <v>237</v>
      </c>
      <c r="U3" s="916" t="s">
        <v>238</v>
      </c>
      <c r="V3" s="916" t="s">
        <v>239</v>
      </c>
      <c r="W3" s="537"/>
      <c r="X3" s="545"/>
      <c r="Y3" s="525" t="s">
        <v>275</v>
      </c>
      <c r="Z3" s="546"/>
      <c r="AA3" s="546"/>
      <c r="AB3" s="546"/>
      <c r="AC3" s="547"/>
    </row>
    <row r="4" spans="1:29" ht="24.95" customHeight="1">
      <c r="A4" s="548" t="s">
        <v>81</v>
      </c>
      <c r="B4" s="897"/>
      <c r="C4" s="898"/>
      <c r="D4" s="899"/>
      <c r="E4" s="549"/>
      <c r="F4" s="550" t="s">
        <v>80</v>
      </c>
      <c r="G4" s="537"/>
      <c r="H4" s="551"/>
      <c r="I4" s="539"/>
      <c r="J4" s="539"/>
      <c r="K4" s="651"/>
      <c r="L4" s="917"/>
      <c r="M4" s="917"/>
      <c r="N4" s="916"/>
      <c r="O4" s="916"/>
      <c r="P4" s="916"/>
      <c r="Q4" s="916"/>
      <c r="R4" s="916"/>
      <c r="S4" s="916"/>
      <c r="T4" s="917"/>
      <c r="U4" s="917"/>
      <c r="V4" s="917"/>
      <c r="W4" s="537"/>
      <c r="X4" s="552"/>
      <c r="Y4" s="537"/>
      <c r="Z4" s="537"/>
      <c r="AA4" s="537"/>
      <c r="AB4" s="537"/>
      <c r="AC4" s="553"/>
    </row>
    <row r="5" spans="1:29" ht="24.95" customHeight="1">
      <c r="A5" s="548" t="s">
        <v>240</v>
      </c>
      <c r="B5" s="897" t="s">
        <v>88</v>
      </c>
      <c r="C5" s="898"/>
      <c r="D5" s="899"/>
      <c r="E5" s="537"/>
      <c r="F5" s="554" t="s">
        <v>241</v>
      </c>
      <c r="G5" s="537"/>
      <c r="H5" s="553"/>
      <c r="I5" s="539"/>
      <c r="J5" s="539"/>
      <c r="K5" s="651"/>
      <c r="L5" s="917"/>
      <c r="M5" s="917"/>
      <c r="N5" s="916"/>
      <c r="O5" s="916"/>
      <c r="P5" s="916"/>
      <c r="Q5" s="916"/>
      <c r="R5" s="916"/>
      <c r="S5" s="916"/>
      <c r="T5" s="917"/>
      <c r="U5" s="917"/>
      <c r="V5" s="917"/>
      <c r="W5" s="537"/>
      <c r="X5" s="552"/>
      <c r="Y5" s="537" t="s">
        <v>276</v>
      </c>
      <c r="Z5" s="537"/>
      <c r="AA5" s="368"/>
      <c r="AB5" s="537"/>
      <c r="AC5" s="553"/>
    </row>
    <row r="6" spans="1:29" ht="24.95" customHeight="1">
      <c r="A6" s="548" t="s">
        <v>78</v>
      </c>
      <c r="B6" s="897" t="s">
        <v>196</v>
      </c>
      <c r="C6" s="898"/>
      <c r="D6" s="899"/>
      <c r="E6" s="537"/>
      <c r="F6" s="554" t="s">
        <v>76</v>
      </c>
      <c r="G6" s="537"/>
      <c r="H6" s="553"/>
      <c r="I6" s="539"/>
      <c r="J6" s="539"/>
      <c r="K6" s="651"/>
      <c r="L6" s="917"/>
      <c r="M6" s="917"/>
      <c r="N6" s="916"/>
      <c r="O6" s="916"/>
      <c r="P6" s="916"/>
      <c r="Q6" s="916"/>
      <c r="R6" s="916"/>
      <c r="S6" s="916"/>
      <c r="T6" s="917"/>
      <c r="U6" s="917"/>
      <c r="V6" s="917"/>
      <c r="W6" s="537"/>
      <c r="X6" s="552"/>
      <c r="Y6" s="537" t="s">
        <v>280</v>
      </c>
      <c r="Z6" s="537"/>
      <c r="AA6" s="368"/>
      <c r="AB6" s="537"/>
      <c r="AC6" s="553"/>
    </row>
    <row r="7" spans="1:29" ht="24.95" customHeight="1">
      <c r="A7" s="548" t="s">
        <v>269</v>
      </c>
      <c r="B7" s="437"/>
      <c r="C7" s="554" t="s">
        <v>270</v>
      </c>
      <c r="D7" s="537"/>
      <c r="E7" s="537"/>
      <c r="F7" s="537"/>
      <c r="G7" s="537"/>
      <c r="H7" s="553"/>
      <c r="I7" s="539"/>
      <c r="J7" s="539"/>
      <c r="K7" s="652"/>
      <c r="L7" s="917"/>
      <c r="M7" s="917"/>
      <c r="N7" s="916"/>
      <c r="O7" s="916"/>
      <c r="P7" s="916"/>
      <c r="Q7" s="916"/>
      <c r="R7" s="916"/>
      <c r="S7" s="916"/>
      <c r="T7" s="917"/>
      <c r="U7" s="917"/>
      <c r="V7" s="917"/>
      <c r="W7" s="537"/>
      <c r="X7" s="552"/>
      <c r="Y7" s="537"/>
      <c r="Z7" s="537"/>
      <c r="AA7" s="537"/>
      <c r="AB7" s="537"/>
      <c r="AC7" s="553"/>
    </row>
    <row r="8" spans="1:29" ht="24.95" customHeight="1">
      <c r="A8" s="548" t="s">
        <v>413</v>
      </c>
      <c r="B8" s="437"/>
      <c r="C8" s="554" t="s">
        <v>242</v>
      </c>
      <c r="D8" s="537"/>
      <c r="E8" s="537"/>
      <c r="F8" s="537"/>
      <c r="G8" s="537"/>
      <c r="H8" s="553"/>
      <c r="I8" s="539"/>
      <c r="J8" s="539"/>
      <c r="K8" s="651"/>
      <c r="L8" s="917"/>
      <c r="M8" s="917"/>
      <c r="N8" s="916"/>
      <c r="O8" s="916"/>
      <c r="P8" s="916"/>
      <c r="Q8" s="916"/>
      <c r="R8" s="916"/>
      <c r="S8" s="916"/>
      <c r="T8" s="917"/>
      <c r="U8" s="917"/>
      <c r="V8" s="917"/>
      <c r="W8" s="537"/>
      <c r="X8" s="552"/>
      <c r="Y8" s="555"/>
      <c r="Z8" s="556" t="s">
        <v>277</v>
      </c>
      <c r="AA8" s="465" t="s">
        <v>278</v>
      </c>
      <c r="AB8" s="556" t="s">
        <v>279</v>
      </c>
      <c r="AC8" s="553"/>
    </row>
    <row r="9" spans="1:29" ht="24.95" customHeight="1">
      <c r="A9" s="548" t="s">
        <v>414</v>
      </c>
      <c r="B9" s="437"/>
      <c r="C9" s="554" t="s">
        <v>243</v>
      </c>
      <c r="D9" s="537"/>
      <c r="E9" s="537"/>
      <c r="F9" s="537"/>
      <c r="G9" s="537"/>
      <c r="H9" s="553"/>
      <c r="I9" s="539"/>
      <c r="J9" s="539"/>
      <c r="K9" s="651"/>
      <c r="L9" s="917"/>
      <c r="M9" s="917"/>
      <c r="N9" s="916"/>
      <c r="O9" s="916"/>
      <c r="P9" s="916"/>
      <c r="Q9" s="916"/>
      <c r="R9" s="916"/>
      <c r="S9" s="916"/>
      <c r="T9" s="917"/>
      <c r="U9" s="917"/>
      <c r="V9" s="917"/>
      <c r="W9" s="537"/>
      <c r="X9" s="557"/>
      <c r="Y9" s="479" t="s">
        <v>282</v>
      </c>
      <c r="Z9" s="437"/>
      <c r="AA9" s="368"/>
      <c r="AB9" s="368"/>
      <c r="AC9" s="553"/>
    </row>
    <row r="10" spans="1:29" ht="25.5" customHeight="1">
      <c r="A10" s="548" t="s">
        <v>244</v>
      </c>
      <c r="B10" s="438">
        <f>AB15</f>
        <v>0</v>
      </c>
      <c r="C10" s="554" t="s">
        <v>274</v>
      </c>
      <c r="D10" s="537"/>
      <c r="E10" s="537"/>
      <c r="F10" s="537"/>
      <c r="G10" s="537"/>
      <c r="H10" s="553"/>
      <c r="I10" s="539"/>
      <c r="J10" s="539"/>
      <c r="K10" s="651"/>
      <c r="L10" s="917"/>
      <c r="M10" s="917"/>
      <c r="N10" s="916"/>
      <c r="O10" s="916"/>
      <c r="P10" s="916"/>
      <c r="Q10" s="916"/>
      <c r="R10" s="916"/>
      <c r="S10" s="916"/>
      <c r="T10" s="917"/>
      <c r="U10" s="917"/>
      <c r="V10" s="917"/>
      <c r="W10" s="537"/>
      <c r="X10" s="557"/>
      <c r="Y10" s="479" t="s">
        <v>283</v>
      </c>
      <c r="Z10" s="437"/>
      <c r="AA10" s="368"/>
      <c r="AB10" s="368"/>
      <c r="AC10" s="553"/>
    </row>
    <row r="11" spans="1:29" ht="24.95" customHeight="1">
      <c r="A11" s="548" t="s">
        <v>245</v>
      </c>
      <c r="B11" s="437"/>
      <c r="C11" s="537"/>
      <c r="D11" s="537"/>
      <c r="E11" s="537"/>
      <c r="F11" s="537"/>
      <c r="G11" s="537"/>
      <c r="H11" s="553"/>
      <c r="I11" s="539"/>
      <c r="J11" s="539"/>
      <c r="K11" s="651"/>
      <c r="L11" s="917"/>
      <c r="M11" s="917"/>
      <c r="N11" s="916"/>
      <c r="O11" s="916"/>
      <c r="P11" s="916"/>
      <c r="Q11" s="916"/>
      <c r="R11" s="916"/>
      <c r="S11" s="916"/>
      <c r="T11" s="917"/>
      <c r="U11" s="917"/>
      <c r="V11" s="917"/>
      <c r="W11" s="537"/>
      <c r="X11" s="557"/>
      <c r="Y11" s="479" t="s">
        <v>284</v>
      </c>
      <c r="Z11" s="437"/>
      <c r="AA11" s="368"/>
      <c r="AB11" s="368"/>
      <c r="AC11" s="553"/>
    </row>
    <row r="12" spans="1:29" ht="24.95" customHeight="1">
      <c r="A12" s="558"/>
      <c r="B12" s="559"/>
      <c r="C12" s="555"/>
      <c r="D12" s="555"/>
      <c r="E12" s="555"/>
      <c r="F12" s="555"/>
      <c r="G12" s="555"/>
      <c r="H12" s="560"/>
      <c r="I12" s="539"/>
      <c r="J12" s="539"/>
      <c r="K12" s="651"/>
      <c r="L12" s="917"/>
      <c r="M12" s="917"/>
      <c r="N12" s="916"/>
      <c r="O12" s="916"/>
      <c r="P12" s="916"/>
      <c r="Q12" s="916"/>
      <c r="R12" s="916"/>
      <c r="S12" s="916"/>
      <c r="T12" s="917"/>
      <c r="U12" s="917"/>
      <c r="V12" s="917"/>
      <c r="W12" s="537"/>
      <c r="X12" s="557"/>
      <c r="Y12" s="479" t="s">
        <v>285</v>
      </c>
      <c r="Z12" s="437"/>
      <c r="AA12" s="368"/>
      <c r="AB12" s="368"/>
      <c r="AC12" s="553"/>
    </row>
    <row r="13" spans="1:29" ht="24.95" customHeight="1">
      <c r="A13" s="283" t="s">
        <v>74</v>
      </c>
      <c r="B13" s="561"/>
      <c r="C13" s="562"/>
      <c r="D13" s="563"/>
      <c r="E13" s="562"/>
      <c r="F13" s="562"/>
      <c r="G13" s="563"/>
      <c r="H13" s="564"/>
      <c r="I13" s="539"/>
      <c r="J13" s="539"/>
      <c r="K13" s="651"/>
      <c r="L13" s="537" t="str">
        <f>VLOOKUP($B$5,Objektabelle!$A$2:$N$9,1,FALSE)</f>
        <v>Verwaltungsgebäude</v>
      </c>
      <c r="M13" s="537">
        <f>VLOOKUP($B$5,Objektabelle!$A$2:$N$9,2,FALSE)</f>
        <v>0.1</v>
      </c>
      <c r="N13" s="537">
        <f>VLOOKUP($B$5,Objektabelle!$A$2:$N$9,3,FALSE)</f>
        <v>0.4</v>
      </c>
      <c r="O13" s="537">
        <f>VLOOKUP($B$5,Objektabelle!$A$2:$N$9,4,FALSE)</f>
        <v>0</v>
      </c>
      <c r="P13" s="537">
        <f>VLOOKUP($B$5,Objektabelle!$A$2:$N$9,5,FALSE)</f>
        <v>0</v>
      </c>
      <c r="Q13" s="537">
        <f>VLOOKUP($B$5,Objektabelle!$A$2:$N$9,6,FALSE)</f>
        <v>0.05</v>
      </c>
      <c r="R13" s="537">
        <f>VLOOKUP($B$5,Objektabelle!$A$2:$N$9,7,FALSE)</f>
        <v>0.2</v>
      </c>
      <c r="S13" s="537">
        <f>VLOOKUP($B$5,Objektabelle!$A$2:$N$9,8,FALSE)</f>
        <v>0</v>
      </c>
      <c r="T13" s="537">
        <f>VLOOKUP($B$5,Objektabelle!$A$2:$N$9,9,FALSE)</f>
        <v>0</v>
      </c>
      <c r="U13" s="537">
        <f>VLOOKUP($B$5,Objektabelle!$A$2:$N$9,10,FALSE)</f>
        <v>0</v>
      </c>
      <c r="V13" s="537">
        <f>VLOOKUP($B$5,Objektabelle!$A$2:$N$9,11,FALSE)</f>
        <v>0</v>
      </c>
      <c r="W13" s="537"/>
      <c r="X13" s="557"/>
      <c r="Y13" s="479" t="s">
        <v>286</v>
      </c>
      <c r="Z13" s="437"/>
      <c r="AA13" s="368"/>
      <c r="AB13" s="368"/>
      <c r="AC13" s="553"/>
    </row>
    <row r="14" spans="1:29" ht="24.95" customHeight="1">
      <c r="A14" s="548" t="s">
        <v>73</v>
      </c>
      <c r="B14" s="439"/>
      <c r="C14" s="565"/>
      <c r="D14" s="566"/>
      <c r="E14" s="537"/>
      <c r="F14" s="537"/>
      <c r="G14" s="566"/>
      <c r="H14" s="551"/>
      <c r="I14" s="539"/>
      <c r="J14" s="539"/>
      <c r="K14" s="651"/>
      <c r="L14" s="537"/>
      <c r="M14" s="537"/>
      <c r="N14" s="537"/>
      <c r="O14" s="537"/>
      <c r="P14" s="537"/>
      <c r="Q14" s="537"/>
      <c r="R14" s="537"/>
      <c r="S14" s="537"/>
      <c r="T14" s="537"/>
      <c r="U14" s="537"/>
      <c r="V14" s="537"/>
      <c r="W14" s="537"/>
      <c r="X14" s="552"/>
      <c r="Y14" s="537"/>
      <c r="Z14" s="567"/>
      <c r="AA14" s="537"/>
      <c r="AB14" s="537"/>
      <c r="AC14" s="553"/>
    </row>
    <row r="15" spans="1:29" ht="24.95" customHeight="1">
      <c r="A15" s="548" t="s">
        <v>445</v>
      </c>
      <c r="B15" s="440">
        <f>1-B14</f>
        <v>1</v>
      </c>
      <c r="C15" s="565"/>
      <c r="D15" s="23" t="s">
        <v>72</v>
      </c>
      <c r="E15" s="23"/>
      <c r="F15" s="23"/>
      <c r="G15" s="23"/>
      <c r="H15" s="553"/>
      <c r="I15" s="539"/>
      <c r="J15" s="539"/>
      <c r="K15" s="651"/>
      <c r="L15" s="537"/>
      <c r="M15" s="537"/>
      <c r="N15" s="537"/>
      <c r="O15" s="537"/>
      <c r="P15" s="537"/>
      <c r="Q15" s="537"/>
      <c r="R15" s="537"/>
      <c r="S15" s="537"/>
      <c r="T15" s="537"/>
      <c r="U15" s="537"/>
      <c r="V15" s="537"/>
      <c r="W15" s="537"/>
      <c r="X15" s="552"/>
      <c r="Y15" s="537"/>
      <c r="Z15" s="568" t="s">
        <v>281</v>
      </c>
      <c r="AA15" s="537"/>
      <c r="AB15" s="438">
        <f>IF(ISNUMBER(AA9),(AA9*AB9+AA10*AB10+AA11*AB11+AA12*AB12+AA13*AB13)/SUM(AB9:AB13),0)</f>
        <v>0</v>
      </c>
      <c r="AC15" s="553"/>
    </row>
    <row r="16" spans="1:29" ht="24.95" customHeight="1" thickBot="1">
      <c r="A16" s="548" t="s">
        <v>71</v>
      </c>
      <c r="B16" s="441"/>
      <c r="C16" s="565" t="s">
        <v>70</v>
      </c>
      <c r="D16" s="537"/>
      <c r="E16" s="537"/>
      <c r="F16" s="537"/>
      <c r="G16" s="537"/>
      <c r="H16" s="553"/>
      <c r="I16" s="539"/>
      <c r="J16" s="539"/>
      <c r="K16" s="651"/>
      <c r="L16" s="537"/>
      <c r="M16" s="537"/>
      <c r="N16" s="537"/>
      <c r="O16" s="537"/>
      <c r="P16" s="537"/>
      <c r="Q16" s="537"/>
      <c r="R16" s="537"/>
      <c r="S16" s="537"/>
      <c r="T16" s="537"/>
      <c r="U16" s="537"/>
      <c r="V16" s="537"/>
      <c r="W16" s="537"/>
      <c r="X16" s="569"/>
      <c r="Y16" s="541"/>
      <c r="Z16" s="541"/>
      <c r="AA16" s="541"/>
      <c r="AB16" s="541"/>
      <c r="AC16" s="570"/>
    </row>
    <row r="17" spans="1:29" ht="24.95" customHeight="1">
      <c r="A17" s="548" t="s">
        <v>550</v>
      </c>
      <c r="B17" s="441"/>
      <c r="C17" s="565" t="s">
        <v>270</v>
      </c>
      <c r="D17" s="537"/>
      <c r="E17" s="537"/>
      <c r="F17" s="537"/>
      <c r="G17" s="537"/>
      <c r="H17" s="553"/>
      <c r="I17" s="539"/>
      <c r="J17" s="539"/>
      <c r="K17" s="651"/>
      <c r="L17" s="537"/>
      <c r="M17" s="537"/>
      <c r="N17" s="537"/>
      <c r="O17" s="537"/>
      <c r="P17" s="537"/>
      <c r="Q17" s="537"/>
      <c r="R17" s="537"/>
      <c r="S17" s="537"/>
      <c r="T17" s="537"/>
      <c r="U17" s="537"/>
      <c r="V17" s="537"/>
      <c r="W17" s="537"/>
      <c r="X17" s="537"/>
      <c r="Y17" s="537"/>
      <c r="Z17" s="537"/>
      <c r="AA17" s="537"/>
      <c r="AB17" s="537"/>
      <c r="AC17" s="537"/>
    </row>
    <row r="18" spans="1:29" ht="24.95" customHeight="1">
      <c r="A18" s="548" t="s">
        <v>252</v>
      </c>
      <c r="B18" s="441"/>
      <c r="C18" s="537"/>
      <c r="D18" s="602" t="s">
        <v>520</v>
      </c>
      <c r="E18" s="603"/>
      <c r="F18" s="604"/>
      <c r="G18" s="441"/>
      <c r="H18" s="553"/>
      <c r="I18" s="539"/>
      <c r="J18" s="539"/>
      <c r="K18" s="651"/>
      <c r="L18" s="537"/>
      <c r="M18" s="537"/>
      <c r="N18" s="537"/>
      <c r="O18" s="537"/>
      <c r="P18" s="537"/>
      <c r="Q18" s="537"/>
      <c r="R18" s="537"/>
      <c r="S18" s="537"/>
      <c r="T18" s="537"/>
      <c r="U18" s="537"/>
      <c r="V18" s="537"/>
      <c r="W18" s="537"/>
      <c r="X18" s="537"/>
      <c r="Y18" s="537"/>
      <c r="Z18" s="537"/>
      <c r="AA18" s="537"/>
      <c r="AB18" s="537"/>
      <c r="AC18" s="537"/>
    </row>
    <row r="19" spans="1:29" ht="24.95" customHeight="1">
      <c r="A19" s="558"/>
      <c r="B19" s="565"/>
      <c r="C19" s="565"/>
      <c r="D19" s="537"/>
      <c r="E19" s="537"/>
      <c r="F19" s="537"/>
      <c r="G19" s="537"/>
      <c r="H19" s="553"/>
      <c r="I19" s="539"/>
      <c r="J19" s="539"/>
      <c r="K19" s="651"/>
      <c r="L19" s="537"/>
      <c r="M19" s="537"/>
      <c r="N19" s="537"/>
      <c r="O19" s="537"/>
      <c r="P19" s="537"/>
      <c r="Q19" s="537"/>
      <c r="R19" s="537"/>
      <c r="S19" s="537"/>
      <c r="T19" s="537"/>
      <c r="U19" s="537"/>
      <c r="V19" s="537"/>
      <c r="W19" s="537"/>
      <c r="X19" s="537"/>
      <c r="Y19" s="537"/>
      <c r="Z19" s="537"/>
      <c r="AA19" s="537"/>
      <c r="AB19" s="537"/>
      <c r="AC19" s="537"/>
    </row>
    <row r="20" spans="1:29" ht="24.95" customHeight="1">
      <c r="A20" s="283" t="s">
        <v>505</v>
      </c>
      <c r="B20" s="562"/>
      <c r="C20" s="562"/>
      <c r="D20" s="562"/>
      <c r="E20" s="562"/>
      <c r="F20" s="562"/>
      <c r="G20" s="562"/>
      <c r="H20" s="571"/>
      <c r="I20" s="539"/>
      <c r="J20" s="539"/>
      <c r="K20" s="651"/>
      <c r="L20" s="537"/>
      <c r="M20" s="537"/>
      <c r="N20" s="537"/>
      <c r="O20" s="537"/>
      <c r="P20" s="537"/>
      <c r="Q20" s="537"/>
      <c r="R20" s="537"/>
      <c r="S20" s="537"/>
      <c r="T20" s="537"/>
      <c r="U20" s="537"/>
      <c r="V20" s="537"/>
      <c r="W20" s="537"/>
      <c r="X20" s="537"/>
      <c r="Y20" s="537"/>
      <c r="Z20" s="537"/>
      <c r="AA20" s="537"/>
      <c r="AB20" s="537"/>
      <c r="AC20" s="537"/>
    </row>
    <row r="21" spans="1:29" ht="24.95" customHeight="1">
      <c r="A21" s="572"/>
      <c r="B21" s="903" t="s">
        <v>506</v>
      </c>
      <c r="C21" s="904"/>
      <c r="D21" s="903" t="s">
        <v>507</v>
      </c>
      <c r="E21" s="904"/>
      <c r="F21" s="565"/>
      <c r="G21" s="537"/>
      <c r="H21" s="551"/>
      <c r="I21" s="539"/>
      <c r="J21" s="539"/>
      <c r="K21" s="651"/>
      <c r="L21" s="537"/>
      <c r="M21" s="537"/>
      <c r="N21" s="537"/>
      <c r="O21" s="537"/>
      <c r="P21" s="537"/>
      <c r="Q21" s="537"/>
      <c r="R21" s="537"/>
      <c r="S21" s="537"/>
      <c r="T21" s="537"/>
      <c r="U21" s="537"/>
      <c r="V21" s="537"/>
      <c r="W21" s="537"/>
      <c r="X21" s="537"/>
      <c r="Y21" s="537"/>
      <c r="Z21" s="537"/>
      <c r="AA21" s="537"/>
      <c r="AB21" s="537"/>
      <c r="AC21" s="537"/>
    </row>
    <row r="22" spans="1:29" ht="24.95" customHeight="1">
      <c r="A22" s="548" t="s">
        <v>69</v>
      </c>
      <c r="B22" s="905">
        <f>ROUND(IF(COUNTA(B7),0.8*CEILING((M13*B8+O13*B9+Q13*B8+S13*B10+U13*B11)*VLOOKUP(B6,Gemeindetabelle!A2:C111,3),1),CEILING((M13*B8+O13*B9+Q13*B8+S13*B10+U13*B11)*VLOOKUP(B6,Gemeindetabelle!A2:C111,3),1)),0)</f>
        <v>0</v>
      </c>
      <c r="C22" s="906"/>
      <c r="D22" s="907" t="str">
        <f>B22*B14*2*0.8+B22*B15*2*0.45&amp;" m²"</f>
        <v>0 m²</v>
      </c>
      <c r="E22" s="907"/>
      <c r="F22" s="573" t="s">
        <v>287</v>
      </c>
      <c r="G22" s="537"/>
      <c r="H22" s="553"/>
      <c r="I22" s="539"/>
      <c r="J22" s="539"/>
      <c r="K22" s="651"/>
      <c r="L22" s="537"/>
      <c r="M22" s="537"/>
      <c r="N22" s="537"/>
      <c r="O22" s="537"/>
      <c r="P22" s="537"/>
      <c r="Q22" s="537"/>
      <c r="R22" s="537"/>
      <c r="S22" s="537"/>
      <c r="T22" s="537"/>
      <c r="U22" s="537"/>
      <c r="V22" s="537"/>
      <c r="W22" s="537"/>
      <c r="X22" s="537"/>
      <c r="Y22" s="537"/>
      <c r="Z22" s="537"/>
      <c r="AA22" s="537"/>
      <c r="AB22" s="537"/>
      <c r="AC22" s="537"/>
    </row>
    <row r="23" spans="1:29" ht="24.95" customHeight="1">
      <c r="A23" s="548" t="s">
        <v>68</v>
      </c>
      <c r="B23" s="905">
        <f>ROUND(IF(COUNTA(B7),0.8*CEILING((N13*B8+P13*B9+R13*B8+T13*B10+V13*B11)*VLOOKUP(B6,Gemeindetabelle!A2:C111,3),1),CEILING((N13*B8+P13*B9+R13*B8+T13*B10+V13*B11)*VLOOKUP(B6,Gemeindetabelle!A2:C111,3),1)),0)</f>
        <v>0</v>
      </c>
      <c r="C23" s="906"/>
      <c r="D23" s="907" t="str">
        <f>B23*B14*0.8*2+B23*B15*2*0.45&amp;" m²"</f>
        <v>0 m²</v>
      </c>
      <c r="E23" s="907"/>
      <c r="F23" s="573" t="s">
        <v>287</v>
      </c>
      <c r="G23" s="537"/>
      <c r="H23" s="553"/>
      <c r="I23" s="539"/>
      <c r="J23" s="539"/>
      <c r="K23" s="651"/>
      <c r="L23" s="537"/>
      <c r="M23" s="537"/>
      <c r="N23" s="537"/>
      <c r="O23" s="537"/>
      <c r="P23" s="537"/>
      <c r="Q23" s="537"/>
      <c r="R23" s="537"/>
      <c r="S23" s="537"/>
      <c r="T23" s="537"/>
      <c r="U23" s="537"/>
      <c r="V23" s="537"/>
      <c r="W23" s="537"/>
      <c r="X23" s="537"/>
      <c r="Y23" s="537"/>
      <c r="Z23" s="537"/>
      <c r="AA23" s="537"/>
      <c r="AB23" s="537"/>
      <c r="AC23" s="537"/>
    </row>
    <row r="24" spans="1:29" ht="24.95" customHeight="1">
      <c r="A24" s="574"/>
      <c r="B24" s="575"/>
      <c r="C24" s="575"/>
      <c r="D24" s="575"/>
      <c r="E24" s="575"/>
      <c r="F24" s="576"/>
      <c r="G24" s="537"/>
      <c r="H24" s="553"/>
      <c r="I24" s="539"/>
      <c r="J24" s="539"/>
      <c r="K24" s="651"/>
      <c r="L24" s="537"/>
      <c r="M24" s="537"/>
      <c r="N24" s="537"/>
      <c r="O24" s="537"/>
      <c r="P24" s="537"/>
      <c r="Q24" s="537"/>
      <c r="R24" s="537"/>
      <c r="S24" s="537"/>
      <c r="T24" s="537"/>
      <c r="U24" s="537"/>
      <c r="V24" s="537"/>
      <c r="W24" s="537"/>
      <c r="X24" s="537"/>
      <c r="Y24" s="537"/>
      <c r="Z24" s="537"/>
      <c r="AA24" s="537"/>
      <c r="AB24" s="537"/>
      <c r="AC24" s="537"/>
    </row>
    <row r="25" spans="1:29" ht="24.95" customHeight="1">
      <c r="A25" s="283" t="s">
        <v>439</v>
      </c>
      <c r="B25" s="444"/>
      <c r="C25" s="442" t="s">
        <v>440</v>
      </c>
      <c r="D25" s="442" t="s">
        <v>34</v>
      </c>
      <c r="E25" s="443"/>
      <c r="F25" s="444"/>
      <c r="G25" s="444"/>
      <c r="H25" s="445"/>
      <c r="I25" s="539"/>
      <c r="J25" s="539"/>
      <c r="K25" s="651"/>
      <c r="L25" s="537"/>
      <c r="M25" s="537"/>
      <c r="N25" s="537"/>
      <c r="O25" s="537"/>
      <c r="P25" s="537"/>
      <c r="Q25" s="537"/>
      <c r="R25" s="537"/>
      <c r="S25" s="537"/>
      <c r="T25" s="537"/>
      <c r="U25" s="537"/>
      <c r="V25" s="537"/>
      <c r="W25" s="537"/>
      <c r="X25" s="537"/>
      <c r="Y25" s="537"/>
      <c r="Z25" s="537"/>
      <c r="AA25" s="537"/>
      <c r="AB25" s="537"/>
      <c r="AC25" s="537"/>
    </row>
    <row r="26" spans="1:29" ht="30.75" customHeight="1">
      <c r="A26" s="908" t="s">
        <v>441</v>
      </c>
      <c r="B26" s="909"/>
      <c r="C26" s="577">
        <v>5</v>
      </c>
      <c r="D26" s="441"/>
      <c r="E26" s="605" t="s">
        <v>444</v>
      </c>
      <c r="F26" s="606" t="str">
        <f>IF(ISNUMBER(G18),ROUNDUP(IF(G18&gt;10,G18/10,1),0),"")</f>
        <v/>
      </c>
      <c r="G26" s="605" t="str">
        <f>IF(F26&lt;=1,"Lademöglichkeit","Lademöglichkeiten")</f>
        <v>Lademöglichkeiten</v>
      </c>
      <c r="H26" s="607" t="s">
        <v>521</v>
      </c>
      <c r="I26" s="539"/>
      <c r="J26" s="578">
        <v>5</v>
      </c>
      <c r="K26" s="651"/>
      <c r="L26" s="537"/>
      <c r="M26" s="537"/>
      <c r="N26" s="537"/>
      <c r="O26" s="537"/>
      <c r="P26" s="537"/>
      <c r="Q26" s="537"/>
      <c r="R26" s="537"/>
      <c r="S26" s="537"/>
      <c r="T26" s="537"/>
      <c r="U26" s="537"/>
      <c r="V26" s="537"/>
      <c r="W26" s="537"/>
      <c r="X26" s="537"/>
      <c r="Y26" s="912" t="s">
        <v>514</v>
      </c>
      <c r="Z26" s="912"/>
      <c r="AA26" s="913"/>
      <c r="AB26" s="537"/>
      <c r="AC26" s="537"/>
    </row>
    <row r="27" spans="1:29" ht="30.75" customHeight="1">
      <c r="A27" s="908" t="s">
        <v>442</v>
      </c>
      <c r="B27" s="909"/>
      <c r="C27" s="579">
        <v>5</v>
      </c>
      <c r="D27" s="441"/>
      <c r="E27" s="581" t="s">
        <v>444</v>
      </c>
      <c r="F27" s="446">
        <v>1</v>
      </c>
      <c r="G27" s="605" t="str">
        <f>IF(F27&lt;=1,"Lademöglichkeit","Lademöglichkeiten")</f>
        <v>Lademöglichkeit</v>
      </c>
      <c r="H27" s="607" t="s">
        <v>522</v>
      </c>
      <c r="I27" s="539"/>
      <c r="J27" s="578">
        <v>5</v>
      </c>
      <c r="K27" s="651"/>
      <c r="L27" s="537"/>
      <c r="M27" s="537"/>
      <c r="N27" s="537"/>
      <c r="O27" s="537"/>
      <c r="P27" s="537"/>
      <c r="Q27" s="537"/>
      <c r="R27" s="537"/>
      <c r="S27" s="537"/>
      <c r="T27" s="537"/>
      <c r="U27" s="537"/>
      <c r="V27" s="537"/>
      <c r="W27" s="537"/>
      <c r="X27" s="537"/>
      <c r="Y27" s="537"/>
      <c r="Z27" s="537"/>
      <c r="AA27" s="537"/>
      <c r="AB27" s="537"/>
      <c r="AC27" s="537"/>
    </row>
    <row r="28" spans="1:29" ht="24.95" customHeight="1">
      <c r="A28" s="910" t="s">
        <v>33</v>
      </c>
      <c r="B28" s="911"/>
      <c r="C28" s="580" t="s">
        <v>294</v>
      </c>
      <c r="D28" s="446" t="str">
        <f>IF(OR(ISNUMBER(D26),ISNUMBER(D27)), SUM(D26,D27),"")</f>
        <v/>
      </c>
      <c r="E28" s="575"/>
      <c r="H28" s="608"/>
      <c r="I28" s="609"/>
      <c r="J28" s="539"/>
      <c r="K28" s="651"/>
      <c r="L28" s="537"/>
      <c r="M28" s="537"/>
      <c r="N28" s="537"/>
      <c r="O28" s="537"/>
      <c r="P28" s="537"/>
      <c r="Q28" s="537"/>
      <c r="R28" s="537"/>
      <c r="S28" s="537"/>
      <c r="T28" s="537"/>
      <c r="U28" s="537"/>
      <c r="V28" s="537"/>
      <c r="W28" s="537"/>
      <c r="X28" s="537"/>
      <c r="Y28" s="537"/>
      <c r="Z28" s="537"/>
      <c r="AA28" s="537"/>
      <c r="AB28" s="537"/>
      <c r="AC28" s="537"/>
    </row>
    <row r="29" spans="1:29" ht="24.95" customHeight="1">
      <c r="A29" s="582"/>
      <c r="B29" s="583"/>
      <c r="C29" s="584"/>
      <c r="D29" s="537"/>
      <c r="E29" s="575"/>
      <c r="F29" s="576"/>
      <c r="G29" s="537"/>
      <c r="H29" s="553"/>
      <c r="I29" s="539"/>
      <c r="J29" s="539"/>
      <c r="K29" s="651"/>
      <c r="L29" s="537"/>
      <c r="M29" s="537"/>
      <c r="N29" s="537"/>
      <c r="O29" s="537"/>
      <c r="P29" s="537"/>
      <c r="Q29" s="537"/>
      <c r="R29" s="537"/>
      <c r="S29" s="537"/>
      <c r="T29" s="537"/>
      <c r="U29" s="537"/>
      <c r="V29" s="537"/>
      <c r="W29" s="537"/>
      <c r="X29" s="537"/>
      <c r="Y29" s="537"/>
      <c r="Z29" s="537"/>
      <c r="AA29" s="537"/>
      <c r="AB29" s="537"/>
      <c r="AC29" s="537"/>
    </row>
    <row r="30" spans="1:29" ht="24.95" customHeight="1">
      <c r="A30" s="283" t="s">
        <v>67</v>
      </c>
      <c r="B30" s="585"/>
      <c r="C30" s="585"/>
      <c r="D30" s="585"/>
      <c r="E30" s="585"/>
      <c r="F30" s="586"/>
      <c r="G30" s="587"/>
      <c r="H30" s="588"/>
      <c r="I30" s="539"/>
      <c r="J30" s="539"/>
      <c r="K30" s="651"/>
      <c r="L30" s="537"/>
      <c r="M30" s="537"/>
      <c r="N30" s="537"/>
      <c r="O30" s="537"/>
      <c r="P30" s="537"/>
      <c r="Q30" s="537"/>
      <c r="R30" s="537"/>
      <c r="S30" s="537"/>
      <c r="T30" s="537"/>
      <c r="U30" s="537"/>
      <c r="V30" s="537"/>
      <c r="W30" s="537"/>
      <c r="X30" s="537"/>
      <c r="Y30" s="537"/>
      <c r="Z30" s="537"/>
      <c r="AA30" s="537"/>
      <c r="AB30" s="537"/>
      <c r="AC30" s="537"/>
    </row>
    <row r="31" spans="1:29" ht="24.95" customHeight="1">
      <c r="A31" s="900" t="s">
        <v>66</v>
      </c>
      <c r="B31" s="901"/>
      <c r="C31" s="902"/>
      <c r="D31" s="589">
        <f>IF(B17="x",2.5,5)</f>
        <v>5</v>
      </c>
      <c r="E31" s="537"/>
      <c r="F31" s="566"/>
      <c r="G31" s="566"/>
      <c r="H31" s="553"/>
      <c r="I31" s="539"/>
      <c r="J31" s="539"/>
      <c r="K31" s="653"/>
      <c r="L31" s="537"/>
      <c r="M31" s="537"/>
      <c r="N31" s="537"/>
      <c r="O31" s="537"/>
      <c r="P31" s="537"/>
      <c r="Q31" s="537"/>
      <c r="R31" s="537"/>
      <c r="S31" s="537"/>
      <c r="T31" s="537"/>
      <c r="U31" s="537"/>
      <c r="V31" s="537"/>
      <c r="W31" s="537"/>
      <c r="X31" s="537"/>
      <c r="Y31" s="537"/>
      <c r="Z31" s="537"/>
      <c r="AA31" s="537"/>
      <c r="AB31" s="537"/>
      <c r="AC31" s="537"/>
    </row>
    <row r="32" spans="1:29" ht="24.95" customHeight="1">
      <c r="A32" s="900" t="s">
        <v>65</v>
      </c>
      <c r="B32" s="901"/>
      <c r="C32" s="902"/>
      <c r="D32" s="589">
        <f>IF(B17="x",10,20)</f>
        <v>20</v>
      </c>
      <c r="E32" s="537"/>
      <c r="F32" s="537"/>
      <c r="G32" s="537"/>
      <c r="H32" s="553"/>
      <c r="I32" s="539"/>
      <c r="J32" s="539"/>
      <c r="K32" s="653"/>
      <c r="L32" s="537"/>
      <c r="M32" s="537"/>
      <c r="N32" s="537"/>
      <c r="O32" s="537"/>
      <c r="P32" s="537"/>
      <c r="Q32" s="537"/>
      <c r="R32" s="537"/>
      <c r="S32" s="537"/>
      <c r="T32" s="537"/>
      <c r="U32" s="537"/>
      <c r="V32" s="537"/>
      <c r="W32" s="537"/>
      <c r="X32" s="537"/>
      <c r="Y32" s="537"/>
      <c r="Z32" s="537"/>
      <c r="AA32" s="537"/>
      <c r="AB32" s="537"/>
      <c r="AC32" s="537"/>
    </row>
    <row r="33" spans="1:29" ht="24.95" customHeight="1">
      <c r="A33" s="892"/>
      <c r="B33" s="893"/>
      <c r="C33" s="893"/>
      <c r="D33" s="185" t="str">
        <f>IF(ISNUMBER(B18),IF(B18&lt;B22,0,IF(B18&gt;B23,20,D31+(D32-D31)/(B23-B22)*(B18-B22))),"")</f>
        <v/>
      </c>
      <c r="E33" s="914" t="str">
        <f>IF(D33&lt;D31,"Mindestausstattung nicht erreicht!","")</f>
        <v/>
      </c>
      <c r="F33" s="915"/>
      <c r="G33" s="915"/>
      <c r="H33" s="553"/>
      <c r="I33" s="539"/>
      <c r="J33" s="539"/>
      <c r="K33" s="653"/>
      <c r="L33" s="537"/>
      <c r="M33" s="537"/>
      <c r="N33" s="537"/>
      <c r="O33" s="537"/>
      <c r="P33" s="537"/>
      <c r="Q33" s="537"/>
      <c r="R33" s="537"/>
      <c r="S33" s="537"/>
      <c r="T33" s="537"/>
      <c r="U33" s="537"/>
      <c r="V33" s="537"/>
      <c r="W33" s="537"/>
      <c r="X33" s="537"/>
      <c r="Y33" s="537"/>
      <c r="Z33" s="537"/>
      <c r="AA33" s="537"/>
      <c r="AB33" s="537"/>
      <c r="AC33" s="537"/>
    </row>
    <row r="34" spans="1:29" ht="24.95" customHeight="1">
      <c r="A34" s="892" t="s">
        <v>338</v>
      </c>
      <c r="B34" s="893"/>
      <c r="C34" s="893"/>
      <c r="D34" s="680" t="str">
        <f>IF(B17="x",D33/2,D33)</f>
        <v/>
      </c>
      <c r="E34" s="677"/>
      <c r="F34" s="677"/>
      <c r="G34" s="677"/>
      <c r="H34" s="553"/>
      <c r="I34" s="539"/>
      <c r="J34" s="539"/>
      <c r="K34" s="653"/>
      <c r="L34" s="537"/>
      <c r="M34" s="537"/>
      <c r="N34" s="537"/>
      <c r="O34" s="537"/>
      <c r="P34" s="537"/>
      <c r="Q34" s="537"/>
      <c r="R34" s="537"/>
      <c r="S34" s="537"/>
      <c r="T34" s="537"/>
      <c r="U34" s="537"/>
      <c r="V34" s="537"/>
      <c r="W34" s="537"/>
      <c r="X34" s="537"/>
      <c r="Y34" s="537"/>
      <c r="Z34" s="537"/>
      <c r="AA34" s="537"/>
      <c r="AB34" s="537"/>
      <c r="AC34" s="537"/>
    </row>
    <row r="35" spans="1:29" ht="24.95" customHeight="1" thickBot="1">
      <c r="A35" s="894" t="s">
        <v>443</v>
      </c>
      <c r="B35" s="895"/>
      <c r="C35" s="896"/>
      <c r="D35" s="281">
        <f>SUM(D28,D34)</f>
        <v>0</v>
      </c>
      <c r="E35" s="590"/>
      <c r="F35" s="541"/>
      <c r="G35" s="541"/>
      <c r="H35" s="570"/>
      <c r="I35" s="537"/>
      <c r="J35" s="537"/>
      <c r="K35" s="653"/>
      <c r="L35" s="537"/>
      <c r="M35" s="537"/>
      <c r="N35" s="537"/>
      <c r="O35" s="537"/>
      <c r="P35" s="537"/>
      <c r="Q35" s="537"/>
      <c r="R35" s="537"/>
      <c r="S35" s="537"/>
      <c r="T35" s="537"/>
      <c r="U35" s="537"/>
      <c r="V35" s="537"/>
      <c r="W35" s="537"/>
      <c r="X35" s="537"/>
      <c r="Y35" s="537"/>
      <c r="Z35" s="537"/>
      <c r="AA35" s="537"/>
      <c r="AB35" s="537"/>
      <c r="AC35" s="537"/>
    </row>
    <row r="36" spans="1:29" ht="24.95" customHeight="1">
      <c r="A36" s="537"/>
      <c r="B36" s="537"/>
      <c r="C36" s="537"/>
      <c r="D36" s="537"/>
      <c r="E36" s="537"/>
      <c r="F36" s="537"/>
      <c r="G36" s="537"/>
      <c r="H36" s="546"/>
      <c r="I36" s="537"/>
      <c r="J36" s="537"/>
      <c r="L36" s="537"/>
      <c r="M36" s="537"/>
      <c r="N36" s="537"/>
      <c r="O36" s="537"/>
      <c r="P36" s="537"/>
      <c r="Q36" s="537"/>
      <c r="R36" s="537"/>
      <c r="S36" s="537"/>
      <c r="T36" s="537"/>
      <c r="U36" s="537"/>
      <c r="V36" s="537"/>
      <c r="W36" s="537"/>
      <c r="X36" s="537"/>
      <c r="Y36" s="537"/>
      <c r="Z36" s="537"/>
      <c r="AA36" s="537"/>
      <c r="AB36" s="537"/>
      <c r="AC36" s="537"/>
    </row>
    <row r="37" spans="1:29" ht="24.95" customHeight="1">
      <c r="A37" s="537"/>
      <c r="B37" s="537"/>
      <c r="C37" s="537"/>
      <c r="D37" s="537"/>
      <c r="E37" s="537"/>
      <c r="F37" s="537"/>
      <c r="G37" s="537"/>
      <c r="H37" s="537"/>
      <c r="I37" s="537"/>
      <c r="J37" s="537"/>
      <c r="L37" s="537"/>
      <c r="M37" s="537"/>
      <c r="N37" s="537"/>
      <c r="O37" s="537"/>
      <c r="P37" s="537"/>
      <c r="Q37" s="537"/>
      <c r="R37" s="537"/>
      <c r="S37" s="537"/>
      <c r="T37" s="537"/>
      <c r="U37" s="537"/>
      <c r="V37" s="537"/>
      <c r="W37" s="345">
        <v>0</v>
      </c>
      <c r="X37" s="537"/>
      <c r="Y37" s="537"/>
      <c r="Z37" s="537"/>
      <c r="AA37" s="537"/>
      <c r="AB37" s="537"/>
      <c r="AC37" s="537"/>
    </row>
    <row r="38" spans="1:29" ht="24.95" customHeight="1">
      <c r="W38" s="591">
        <v>5</v>
      </c>
    </row>
    <row r="39" spans="1:29" ht="24.95" customHeight="1"/>
    <row r="40" spans="1:29" ht="24.95" customHeight="1"/>
    <row r="41" spans="1:29" ht="9" customHeight="1"/>
    <row r="42" spans="1:29" ht="6" customHeight="1"/>
  </sheetData>
  <sheetProtection algorithmName="SHA-512" hashValue="gydzYI1Kdmbb+elN6fVWba/ReOqYwDZtk1qs6Pr6gkVbjQUJYdxfxuos4Yj/J6P6GcUTnDowsawAB6UMbzaZQw==" saltValue="cITMcV9pZ2hsKolcLqJz0w==" spinCount="100000" sheet="1" selectLockedCells="1"/>
  <mergeCells count="30">
    <mergeCell ref="A28:B28"/>
    <mergeCell ref="Y26:AA26"/>
    <mergeCell ref="E33:G33"/>
    <mergeCell ref="L3:L12"/>
    <mergeCell ref="U3:U12"/>
    <mergeCell ref="V3:V12"/>
    <mergeCell ref="M3:M12"/>
    <mergeCell ref="N3:N12"/>
    <mergeCell ref="O3:O12"/>
    <mergeCell ref="P3:P12"/>
    <mergeCell ref="Q3:Q12"/>
    <mergeCell ref="T3:T12"/>
    <mergeCell ref="S3:S12"/>
    <mergeCell ref="R3:R12"/>
    <mergeCell ref="A34:C34"/>
    <mergeCell ref="A35:C35"/>
    <mergeCell ref="B4:D4"/>
    <mergeCell ref="B5:D5"/>
    <mergeCell ref="B6:D6"/>
    <mergeCell ref="A31:C31"/>
    <mergeCell ref="A32:C32"/>
    <mergeCell ref="A33:C33"/>
    <mergeCell ref="B21:C21"/>
    <mergeCell ref="D21:E21"/>
    <mergeCell ref="B22:C22"/>
    <mergeCell ref="D22:E22"/>
    <mergeCell ref="B23:C23"/>
    <mergeCell ref="D23:E23"/>
    <mergeCell ref="A26:B26"/>
    <mergeCell ref="A27:B27"/>
  </mergeCells>
  <dataValidations count="1">
    <dataValidation type="list" allowBlank="1" showInputMessage="1" showErrorMessage="1" sqref="D26:D27">
      <formula1>"0,5"</formula1>
    </dataValidation>
  </dataValidations>
  <printOptions horizontalCentered="1"/>
  <pageMargins left="0.59055118110236227" right="0.59055118110236227" top="0.59055118110236227" bottom="0.59055118110236227" header="0.31496062992125984" footer="0.31496062992125984"/>
  <pageSetup paperSize="9" scale="36" orientation="landscape" r:id="rId1"/>
  <ignoredErrors>
    <ignoredError sqref="C23 D22:E23 C22"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Objektabelle!$A$2:$A$9</xm:f>
          </x14:formula1>
          <xm:sqref>B5:D5</xm:sqref>
        </x14:dataValidation>
        <x14:dataValidation type="list" allowBlank="1" showInputMessage="1" showErrorMessage="1">
          <x14:formula1>
            <xm:f>Gemeindetabelle!$A$2:$A$111</xm:f>
          </x14:formula1>
          <xm:sqref>B6:D6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O9"/>
  <sheetViews>
    <sheetView zoomScale="115" zoomScaleNormal="115" workbookViewId="0">
      <selection activeCell="E15" sqref="E15"/>
    </sheetView>
  </sheetViews>
  <sheetFormatPr baseColWidth="10" defaultColWidth="11.42578125" defaultRowHeight="15"/>
  <cols>
    <col min="1" max="1" width="54.85546875" style="9" bestFit="1" customWidth="1"/>
    <col min="2" max="11" width="10.28515625" style="9" customWidth="1"/>
    <col min="12" max="12" width="25" style="9" bestFit="1" customWidth="1"/>
    <col min="13" max="13" width="24.28515625" style="9" bestFit="1" customWidth="1"/>
    <col min="14" max="14" width="10.140625" style="9" bestFit="1" customWidth="1"/>
    <col min="15" max="16384" width="11.42578125" style="9"/>
  </cols>
  <sheetData>
    <row r="1" spans="1:15" ht="144">
      <c r="A1" s="7" t="s">
        <v>240</v>
      </c>
      <c r="B1" s="8" t="s">
        <v>95</v>
      </c>
      <c r="C1" s="8" t="s">
        <v>94</v>
      </c>
      <c r="D1" s="8" t="s">
        <v>93</v>
      </c>
      <c r="E1" s="8" t="s">
        <v>92</v>
      </c>
      <c r="F1" s="8" t="s">
        <v>234</v>
      </c>
      <c r="G1" s="8" t="s">
        <v>235</v>
      </c>
      <c r="H1" s="8" t="s">
        <v>236</v>
      </c>
      <c r="I1" s="8" t="s">
        <v>237</v>
      </c>
      <c r="J1" s="8" t="s">
        <v>246</v>
      </c>
      <c r="K1" s="8" t="s">
        <v>247</v>
      </c>
      <c r="L1" s="8" t="s">
        <v>91</v>
      </c>
      <c r="M1" s="8" t="s">
        <v>90</v>
      </c>
      <c r="N1" s="8" t="s">
        <v>89</v>
      </c>
    </row>
    <row r="2" spans="1:15">
      <c r="A2" s="10" t="s">
        <v>88</v>
      </c>
      <c r="B2" s="22">
        <v>0.1</v>
      </c>
      <c r="C2" s="22">
        <v>0.4</v>
      </c>
      <c r="D2" s="22">
        <v>0</v>
      </c>
      <c r="E2" s="22">
        <v>0</v>
      </c>
      <c r="F2" s="22">
        <v>0.05</v>
      </c>
      <c r="G2" s="22">
        <v>0.2</v>
      </c>
      <c r="H2" s="22">
        <v>0</v>
      </c>
      <c r="I2" s="22">
        <v>0</v>
      </c>
      <c r="J2" s="22">
        <v>0</v>
      </c>
      <c r="K2" s="22">
        <v>0</v>
      </c>
      <c r="L2" s="10" t="s">
        <v>75</v>
      </c>
      <c r="M2" s="10"/>
      <c r="N2" s="10"/>
    </row>
    <row r="3" spans="1:15">
      <c r="A3" s="10" t="s">
        <v>79</v>
      </c>
      <c r="B3" s="22">
        <v>0.3</v>
      </c>
      <c r="C3" s="22">
        <v>0.9</v>
      </c>
      <c r="D3" s="22">
        <v>0.1</v>
      </c>
      <c r="E3" s="22">
        <v>0.2</v>
      </c>
      <c r="F3" s="22">
        <v>0</v>
      </c>
      <c r="G3" s="22">
        <v>0</v>
      </c>
      <c r="H3" s="22">
        <v>0</v>
      </c>
      <c r="I3" s="22">
        <v>0</v>
      </c>
      <c r="J3" s="22">
        <v>0</v>
      </c>
      <c r="K3" s="22">
        <v>0</v>
      </c>
      <c r="L3" s="10" t="s">
        <v>75</v>
      </c>
      <c r="M3" s="10" t="s">
        <v>85</v>
      </c>
      <c r="N3" s="10"/>
    </row>
    <row r="4" spans="1:15">
      <c r="A4" s="10" t="s">
        <v>87</v>
      </c>
      <c r="B4" s="22">
        <v>0.3</v>
      </c>
      <c r="C4" s="22">
        <v>0.6</v>
      </c>
      <c r="D4" s="22">
        <v>0.15</v>
      </c>
      <c r="E4" s="22">
        <v>0.35</v>
      </c>
      <c r="F4" s="22">
        <v>0</v>
      </c>
      <c r="G4" s="22">
        <v>0</v>
      </c>
      <c r="H4" s="22">
        <v>0</v>
      </c>
      <c r="I4" s="22">
        <v>0</v>
      </c>
      <c r="J4" s="22">
        <v>0</v>
      </c>
      <c r="K4" s="22">
        <v>0</v>
      </c>
      <c r="L4" s="10" t="s">
        <v>75</v>
      </c>
      <c r="M4" s="10" t="s">
        <v>85</v>
      </c>
      <c r="N4" s="10"/>
    </row>
    <row r="5" spans="1:15">
      <c r="A5" s="10" t="s">
        <v>86</v>
      </c>
      <c r="B5" s="22">
        <v>0.3</v>
      </c>
      <c r="C5" s="22">
        <v>0.6</v>
      </c>
      <c r="D5" s="22">
        <v>0.3</v>
      </c>
      <c r="E5" s="22">
        <v>0.9</v>
      </c>
      <c r="F5" s="22">
        <v>0</v>
      </c>
      <c r="G5" s="22">
        <v>0</v>
      </c>
      <c r="H5" s="22">
        <v>0</v>
      </c>
      <c r="I5" s="22">
        <v>0</v>
      </c>
      <c r="J5" s="22">
        <v>0</v>
      </c>
      <c r="K5" s="22">
        <v>0</v>
      </c>
      <c r="L5" s="10" t="s">
        <v>75</v>
      </c>
      <c r="M5" s="10" t="s">
        <v>85</v>
      </c>
      <c r="N5" s="10"/>
    </row>
    <row r="6" spans="1:15">
      <c r="A6" s="10" t="s">
        <v>84</v>
      </c>
      <c r="B6" s="22">
        <v>0.1</v>
      </c>
      <c r="C6" s="22">
        <v>0.4</v>
      </c>
      <c r="D6" s="22">
        <v>0</v>
      </c>
      <c r="E6" s="22">
        <v>0</v>
      </c>
      <c r="F6" s="22">
        <v>0</v>
      </c>
      <c r="G6" s="22">
        <v>0</v>
      </c>
      <c r="H6" s="22">
        <v>0</v>
      </c>
      <c r="I6" s="22">
        <v>0</v>
      </c>
      <c r="J6" s="22">
        <v>2.5000000000000001E-2</v>
      </c>
      <c r="K6" s="22">
        <v>0.1</v>
      </c>
      <c r="L6" s="10" t="s">
        <v>75</v>
      </c>
      <c r="M6" s="10"/>
      <c r="N6" s="10" t="s">
        <v>83</v>
      </c>
    </row>
    <row r="7" spans="1:15">
      <c r="A7" s="10" t="s">
        <v>248</v>
      </c>
      <c r="B7" s="22">
        <v>0.1</v>
      </c>
      <c r="C7" s="22">
        <v>0.4</v>
      </c>
      <c r="D7" s="22">
        <v>0</v>
      </c>
      <c r="E7" s="22">
        <v>0</v>
      </c>
      <c r="F7" s="22">
        <v>0</v>
      </c>
      <c r="G7" s="22">
        <v>0</v>
      </c>
      <c r="H7" s="86">
        <v>0.1</v>
      </c>
      <c r="I7" s="86">
        <v>0.4</v>
      </c>
      <c r="J7" s="22">
        <v>0</v>
      </c>
      <c r="K7" s="22">
        <v>0</v>
      </c>
      <c r="L7" s="10" t="s">
        <v>75</v>
      </c>
      <c r="M7" s="85" t="s">
        <v>288</v>
      </c>
      <c r="N7" s="10"/>
      <c r="O7" s="9">
        <v>2</v>
      </c>
    </row>
    <row r="8" spans="1:15">
      <c r="A8" s="10" t="s">
        <v>249</v>
      </c>
      <c r="B8" s="22">
        <v>0.1</v>
      </c>
      <c r="C8" s="22">
        <v>0.4</v>
      </c>
      <c r="D8" s="22">
        <v>0</v>
      </c>
      <c r="E8" s="22">
        <v>0</v>
      </c>
      <c r="F8" s="22">
        <v>0</v>
      </c>
      <c r="G8" s="22">
        <v>0</v>
      </c>
      <c r="H8" s="86">
        <v>0.05</v>
      </c>
      <c r="I8" s="86">
        <v>0.3</v>
      </c>
      <c r="J8" s="22">
        <v>0</v>
      </c>
      <c r="K8" s="22">
        <v>0</v>
      </c>
      <c r="L8" s="10" t="s">
        <v>75</v>
      </c>
      <c r="M8" s="85" t="s">
        <v>288</v>
      </c>
      <c r="N8" s="10"/>
    </row>
    <row r="9" spans="1:15">
      <c r="A9" s="10" t="s">
        <v>250</v>
      </c>
      <c r="B9" s="22">
        <v>0.1</v>
      </c>
      <c r="C9" s="22">
        <v>0.4</v>
      </c>
      <c r="D9" s="22">
        <v>0</v>
      </c>
      <c r="E9" s="22">
        <v>0</v>
      </c>
      <c r="F9" s="22">
        <v>0</v>
      </c>
      <c r="G9" s="22">
        <v>0</v>
      </c>
      <c r="H9" s="86">
        <v>2.5000000000000001E-2</v>
      </c>
      <c r="I9" s="86">
        <v>0.1</v>
      </c>
      <c r="J9" s="22">
        <v>0</v>
      </c>
      <c r="K9" s="22">
        <v>0</v>
      </c>
      <c r="L9" s="10" t="s">
        <v>75</v>
      </c>
      <c r="M9" s="85" t="s">
        <v>288</v>
      </c>
      <c r="N9" s="10"/>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111"/>
  <sheetViews>
    <sheetView workbookViewId="0">
      <selection activeCell="C34" sqref="C34"/>
    </sheetView>
  </sheetViews>
  <sheetFormatPr baseColWidth="10" defaultColWidth="11.42578125" defaultRowHeight="15"/>
  <cols>
    <col min="1" max="1" width="25.5703125" style="19" bestFit="1" customWidth="1"/>
    <col min="2" max="2" width="68.85546875" style="19" bestFit="1" customWidth="1"/>
    <col min="3" max="3" width="6" style="20" bestFit="1" customWidth="1"/>
    <col min="4" max="16384" width="11.42578125" style="9"/>
  </cols>
  <sheetData>
    <row r="1" spans="1:3">
      <c r="A1" s="11" t="s">
        <v>211</v>
      </c>
      <c r="B1" s="11" t="s">
        <v>210</v>
      </c>
      <c r="C1" s="12" t="s">
        <v>209</v>
      </c>
    </row>
    <row r="2" spans="1:3">
      <c r="A2" s="13" t="s">
        <v>208</v>
      </c>
      <c r="B2" s="14" t="s">
        <v>105</v>
      </c>
      <c r="C2" s="15">
        <v>0.6</v>
      </c>
    </row>
    <row r="3" spans="1:3">
      <c r="A3" s="13" t="s">
        <v>207</v>
      </c>
      <c r="B3" s="14" t="s">
        <v>97</v>
      </c>
      <c r="C3" s="16">
        <v>1</v>
      </c>
    </row>
    <row r="4" spans="1:3">
      <c r="A4" s="13" t="s">
        <v>206</v>
      </c>
      <c r="B4" s="14" t="s">
        <v>105</v>
      </c>
      <c r="C4" s="15">
        <v>0.6</v>
      </c>
    </row>
    <row r="5" spans="1:3">
      <c r="A5" s="13" t="s">
        <v>205</v>
      </c>
      <c r="B5" s="14" t="s">
        <v>105</v>
      </c>
      <c r="C5" s="15">
        <v>0.6</v>
      </c>
    </row>
    <row r="6" spans="1:3">
      <c r="A6" s="13" t="s">
        <v>204</v>
      </c>
      <c r="B6" s="14" t="s">
        <v>99</v>
      </c>
      <c r="C6" s="15">
        <v>0.2</v>
      </c>
    </row>
    <row r="7" spans="1:3">
      <c r="A7" s="13" t="s">
        <v>203</v>
      </c>
      <c r="B7" s="14" t="s">
        <v>105</v>
      </c>
      <c r="C7" s="15">
        <v>0.6</v>
      </c>
    </row>
    <row r="8" spans="1:3">
      <c r="A8" s="13" t="s">
        <v>202</v>
      </c>
      <c r="B8" s="14" t="s">
        <v>99</v>
      </c>
      <c r="C8" s="15">
        <v>0.2</v>
      </c>
    </row>
    <row r="9" spans="1:3">
      <c r="A9" s="13" t="s">
        <v>201</v>
      </c>
      <c r="B9" s="14" t="s">
        <v>105</v>
      </c>
      <c r="C9" s="15">
        <v>0.6</v>
      </c>
    </row>
    <row r="10" spans="1:3">
      <c r="A10" s="13" t="s">
        <v>200</v>
      </c>
      <c r="B10" s="14" t="s">
        <v>99</v>
      </c>
      <c r="C10" s="15">
        <v>0.2</v>
      </c>
    </row>
    <row r="11" spans="1:3">
      <c r="A11" s="13" t="s">
        <v>199</v>
      </c>
      <c r="B11" s="14" t="s">
        <v>97</v>
      </c>
      <c r="C11" s="15">
        <v>1</v>
      </c>
    </row>
    <row r="12" spans="1:3">
      <c r="A12" s="13" t="s">
        <v>198</v>
      </c>
      <c r="B12" s="14" t="s">
        <v>97</v>
      </c>
      <c r="C12" s="15">
        <v>1</v>
      </c>
    </row>
    <row r="13" spans="1:3">
      <c r="A13" s="13" t="s">
        <v>197</v>
      </c>
      <c r="B13" s="14" t="s">
        <v>99</v>
      </c>
      <c r="C13" s="15">
        <v>0.2</v>
      </c>
    </row>
    <row r="14" spans="1:3">
      <c r="A14" s="13" t="s">
        <v>196</v>
      </c>
      <c r="B14" s="14" t="s">
        <v>97</v>
      </c>
      <c r="C14" s="15">
        <v>1</v>
      </c>
    </row>
    <row r="15" spans="1:3">
      <c r="A15" s="13" t="s">
        <v>195</v>
      </c>
      <c r="B15" s="14" t="s">
        <v>99</v>
      </c>
      <c r="C15" s="15">
        <v>0.2</v>
      </c>
    </row>
    <row r="16" spans="1:3">
      <c r="A16" s="13" t="s">
        <v>194</v>
      </c>
      <c r="B16" s="14" t="s">
        <v>99</v>
      </c>
      <c r="C16" s="15">
        <v>0.2</v>
      </c>
    </row>
    <row r="17" spans="1:3">
      <c r="A17" s="13" t="s">
        <v>193</v>
      </c>
      <c r="B17" s="14" t="s">
        <v>97</v>
      </c>
      <c r="C17" s="15">
        <v>1</v>
      </c>
    </row>
    <row r="18" spans="1:3">
      <c r="A18" s="13" t="s">
        <v>192</v>
      </c>
      <c r="B18" s="14" t="s">
        <v>99</v>
      </c>
      <c r="C18" s="15">
        <v>0.2</v>
      </c>
    </row>
    <row r="19" spans="1:3">
      <c r="A19" s="13" t="s">
        <v>191</v>
      </c>
      <c r="B19" s="14" t="s">
        <v>105</v>
      </c>
      <c r="C19" s="15">
        <v>0.6</v>
      </c>
    </row>
    <row r="20" spans="1:3">
      <c r="A20" s="13" t="s">
        <v>190</v>
      </c>
      <c r="B20" s="14" t="s">
        <v>99</v>
      </c>
      <c r="C20" s="15">
        <v>0.2</v>
      </c>
    </row>
    <row r="21" spans="1:3">
      <c r="A21" s="13" t="s">
        <v>189</v>
      </c>
      <c r="B21" s="14" t="s">
        <v>105</v>
      </c>
      <c r="C21" s="15">
        <v>0.6</v>
      </c>
    </row>
    <row r="22" spans="1:3">
      <c r="A22" s="13" t="s">
        <v>188</v>
      </c>
      <c r="B22" s="14" t="s">
        <v>105</v>
      </c>
      <c r="C22" s="15">
        <v>0.6</v>
      </c>
    </row>
    <row r="23" spans="1:3">
      <c r="A23" s="13" t="s">
        <v>187</v>
      </c>
      <c r="B23" s="14" t="s">
        <v>97</v>
      </c>
      <c r="C23" s="17">
        <v>1</v>
      </c>
    </row>
    <row r="24" spans="1:3">
      <c r="A24" s="13" t="s">
        <v>186</v>
      </c>
      <c r="B24" s="14" t="s">
        <v>99</v>
      </c>
      <c r="C24" s="15">
        <v>0.2</v>
      </c>
    </row>
    <row r="25" spans="1:3">
      <c r="A25" s="13" t="s">
        <v>185</v>
      </c>
      <c r="B25" s="14" t="s">
        <v>105</v>
      </c>
      <c r="C25" s="15">
        <v>0.6</v>
      </c>
    </row>
    <row r="26" spans="1:3">
      <c r="A26" s="13" t="s">
        <v>184</v>
      </c>
      <c r="B26" s="14" t="s">
        <v>99</v>
      </c>
      <c r="C26" s="15">
        <v>0.2</v>
      </c>
    </row>
    <row r="27" spans="1:3">
      <c r="A27" s="13" t="s">
        <v>183</v>
      </c>
      <c r="B27" s="14" t="s">
        <v>99</v>
      </c>
      <c r="C27" s="15">
        <v>0.2</v>
      </c>
    </row>
    <row r="28" spans="1:3">
      <c r="A28" s="13" t="s">
        <v>182</v>
      </c>
      <c r="B28" s="14" t="s">
        <v>105</v>
      </c>
      <c r="C28" s="15">
        <v>0.6</v>
      </c>
    </row>
    <row r="29" spans="1:3">
      <c r="A29" s="13" t="s">
        <v>181</v>
      </c>
      <c r="B29" s="14" t="s">
        <v>99</v>
      </c>
      <c r="C29" s="15">
        <v>0.2</v>
      </c>
    </row>
    <row r="30" spans="1:3">
      <c r="A30" s="13" t="s">
        <v>180</v>
      </c>
      <c r="B30" s="14" t="s">
        <v>97</v>
      </c>
      <c r="C30" s="15">
        <v>1</v>
      </c>
    </row>
    <row r="31" spans="1:3">
      <c r="A31" s="13" t="s">
        <v>179</v>
      </c>
      <c r="B31" s="14" t="s">
        <v>99</v>
      </c>
      <c r="C31" s="15">
        <v>0.2</v>
      </c>
    </row>
    <row r="32" spans="1:3">
      <c r="A32" s="13" t="s">
        <v>178</v>
      </c>
      <c r="B32" s="14" t="s">
        <v>97</v>
      </c>
      <c r="C32" s="15">
        <v>1</v>
      </c>
    </row>
    <row r="33" spans="1:3">
      <c r="A33" s="13" t="s">
        <v>177</v>
      </c>
      <c r="B33" s="14" t="s">
        <v>99</v>
      </c>
      <c r="C33" s="15">
        <v>0.2</v>
      </c>
    </row>
    <row r="34" spans="1:3">
      <c r="A34" s="13" t="s">
        <v>176</v>
      </c>
      <c r="B34" s="14" t="s">
        <v>99</v>
      </c>
      <c r="C34" s="15">
        <v>0.2</v>
      </c>
    </row>
    <row r="35" spans="1:3">
      <c r="A35" s="13" t="s">
        <v>175</v>
      </c>
      <c r="B35" s="14" t="s">
        <v>99</v>
      </c>
      <c r="C35" s="15">
        <v>0.2</v>
      </c>
    </row>
    <row r="36" spans="1:3">
      <c r="A36" s="13" t="s">
        <v>174</v>
      </c>
      <c r="B36" s="14" t="s">
        <v>99</v>
      </c>
      <c r="C36" s="15">
        <v>0.2</v>
      </c>
    </row>
    <row r="37" spans="1:3">
      <c r="A37" s="13" t="s">
        <v>173</v>
      </c>
      <c r="B37" s="14" t="s">
        <v>99</v>
      </c>
      <c r="C37" s="15">
        <v>0.2</v>
      </c>
    </row>
    <row r="38" spans="1:3">
      <c r="A38" s="13" t="s">
        <v>172</v>
      </c>
      <c r="B38" s="14" t="s">
        <v>97</v>
      </c>
      <c r="C38" s="15">
        <v>1</v>
      </c>
    </row>
    <row r="39" spans="1:3">
      <c r="A39" s="13" t="s">
        <v>171</v>
      </c>
      <c r="B39" s="14" t="s">
        <v>97</v>
      </c>
      <c r="C39" s="18">
        <v>1</v>
      </c>
    </row>
    <row r="40" spans="1:3">
      <c r="A40" s="13" t="s">
        <v>170</v>
      </c>
      <c r="B40" s="14" t="s">
        <v>105</v>
      </c>
      <c r="C40" s="15">
        <v>0.6</v>
      </c>
    </row>
    <row r="41" spans="1:3">
      <c r="A41" s="13" t="s">
        <v>169</v>
      </c>
      <c r="B41" s="14" t="s">
        <v>105</v>
      </c>
      <c r="C41" s="15">
        <v>0.6</v>
      </c>
    </row>
    <row r="42" spans="1:3">
      <c r="A42" s="13" t="s">
        <v>168</v>
      </c>
      <c r="B42" s="14" t="s">
        <v>97</v>
      </c>
      <c r="C42" s="17">
        <v>1</v>
      </c>
    </row>
    <row r="43" spans="1:3">
      <c r="A43" s="13" t="s">
        <v>167</v>
      </c>
      <c r="B43" s="14" t="s">
        <v>99</v>
      </c>
      <c r="C43" s="15">
        <v>0.2</v>
      </c>
    </row>
    <row r="44" spans="1:3">
      <c r="A44" s="13" t="s">
        <v>166</v>
      </c>
      <c r="B44" s="14" t="s">
        <v>97</v>
      </c>
      <c r="C44" s="18">
        <v>1</v>
      </c>
    </row>
    <row r="45" spans="1:3">
      <c r="A45" s="13" t="s">
        <v>165</v>
      </c>
      <c r="B45" s="14" t="s">
        <v>105</v>
      </c>
      <c r="C45" s="15">
        <v>0.6</v>
      </c>
    </row>
    <row r="46" spans="1:3">
      <c r="A46" s="13" t="s">
        <v>164</v>
      </c>
      <c r="B46" s="14" t="s">
        <v>97</v>
      </c>
      <c r="C46" s="17">
        <v>1</v>
      </c>
    </row>
    <row r="47" spans="1:3">
      <c r="A47" s="13" t="s">
        <v>163</v>
      </c>
      <c r="B47" s="14" t="s">
        <v>97</v>
      </c>
      <c r="C47" s="15">
        <v>1</v>
      </c>
    </row>
    <row r="48" spans="1:3">
      <c r="A48" s="13" t="s">
        <v>162</v>
      </c>
      <c r="B48" s="14" t="s">
        <v>99</v>
      </c>
      <c r="C48" s="15">
        <v>0.2</v>
      </c>
    </row>
    <row r="49" spans="1:3">
      <c r="A49" s="13" t="s">
        <v>161</v>
      </c>
      <c r="B49" s="14" t="s">
        <v>97</v>
      </c>
      <c r="C49" s="15">
        <v>1</v>
      </c>
    </row>
    <row r="50" spans="1:3">
      <c r="A50" s="13" t="s">
        <v>160</v>
      </c>
      <c r="B50" s="14" t="s">
        <v>97</v>
      </c>
      <c r="C50" s="18">
        <v>1</v>
      </c>
    </row>
    <row r="51" spans="1:3">
      <c r="A51" s="13" t="s">
        <v>159</v>
      </c>
      <c r="B51" s="14" t="s">
        <v>105</v>
      </c>
      <c r="C51" s="15">
        <v>0.6</v>
      </c>
    </row>
    <row r="52" spans="1:3">
      <c r="A52" s="13" t="s">
        <v>158</v>
      </c>
      <c r="B52" s="14" t="s">
        <v>97</v>
      </c>
      <c r="C52" s="17">
        <v>1</v>
      </c>
    </row>
    <row r="53" spans="1:3">
      <c r="A53" s="13" t="s">
        <v>157</v>
      </c>
      <c r="B53" s="14" t="s">
        <v>97</v>
      </c>
      <c r="C53" s="18">
        <v>1</v>
      </c>
    </row>
    <row r="54" spans="1:3">
      <c r="A54" s="13" t="s">
        <v>156</v>
      </c>
      <c r="B54" s="14" t="s">
        <v>105</v>
      </c>
      <c r="C54" s="15">
        <v>0.6</v>
      </c>
    </row>
    <row r="55" spans="1:3">
      <c r="A55" s="13" t="s">
        <v>155</v>
      </c>
      <c r="B55" s="14" t="s">
        <v>97</v>
      </c>
      <c r="C55" s="16">
        <v>1</v>
      </c>
    </row>
    <row r="56" spans="1:3">
      <c r="A56" s="13" t="s">
        <v>154</v>
      </c>
      <c r="B56" s="14" t="s">
        <v>105</v>
      </c>
      <c r="C56" s="15">
        <v>0.6</v>
      </c>
    </row>
    <row r="57" spans="1:3">
      <c r="A57" s="13" t="s">
        <v>153</v>
      </c>
      <c r="B57" s="14" t="s">
        <v>105</v>
      </c>
      <c r="C57" s="15">
        <v>0.6</v>
      </c>
    </row>
    <row r="58" spans="1:3">
      <c r="A58" s="13" t="s">
        <v>152</v>
      </c>
      <c r="B58" s="14" t="s">
        <v>105</v>
      </c>
      <c r="C58" s="15">
        <v>0.6</v>
      </c>
    </row>
    <row r="59" spans="1:3">
      <c r="A59" s="13" t="s">
        <v>151</v>
      </c>
      <c r="B59" s="14" t="s">
        <v>99</v>
      </c>
      <c r="C59" s="15">
        <v>0.2</v>
      </c>
    </row>
    <row r="60" spans="1:3">
      <c r="A60" s="13" t="s">
        <v>150</v>
      </c>
      <c r="B60" s="14" t="s">
        <v>97</v>
      </c>
      <c r="C60" s="18">
        <v>1</v>
      </c>
    </row>
    <row r="61" spans="1:3">
      <c r="A61" s="13" t="s">
        <v>149</v>
      </c>
      <c r="B61" s="14" t="s">
        <v>105</v>
      </c>
      <c r="C61" s="15">
        <v>0.6</v>
      </c>
    </row>
    <row r="62" spans="1:3">
      <c r="A62" s="13" t="s">
        <v>148</v>
      </c>
      <c r="B62" s="14" t="s">
        <v>105</v>
      </c>
      <c r="C62" s="15">
        <v>0.6</v>
      </c>
    </row>
    <row r="63" spans="1:3">
      <c r="A63" s="13" t="s">
        <v>147</v>
      </c>
      <c r="B63" s="14" t="s">
        <v>97</v>
      </c>
      <c r="C63" s="17">
        <v>1</v>
      </c>
    </row>
    <row r="64" spans="1:3">
      <c r="A64" s="13" t="s">
        <v>146</v>
      </c>
      <c r="B64" s="14" t="s">
        <v>97</v>
      </c>
      <c r="C64" s="15">
        <v>1</v>
      </c>
    </row>
    <row r="65" spans="1:3">
      <c r="A65" s="13" t="s">
        <v>145</v>
      </c>
      <c r="B65" s="14" t="s">
        <v>97</v>
      </c>
      <c r="C65" s="15">
        <v>1</v>
      </c>
    </row>
    <row r="66" spans="1:3">
      <c r="A66" s="13" t="s">
        <v>144</v>
      </c>
      <c r="B66" s="14" t="s">
        <v>97</v>
      </c>
      <c r="C66" s="15">
        <v>1</v>
      </c>
    </row>
    <row r="67" spans="1:3">
      <c r="A67" s="13" t="s">
        <v>143</v>
      </c>
      <c r="B67" s="14" t="s">
        <v>97</v>
      </c>
      <c r="C67" s="15">
        <v>1</v>
      </c>
    </row>
    <row r="68" spans="1:3">
      <c r="A68" s="13" t="s">
        <v>142</v>
      </c>
      <c r="B68" s="14" t="s">
        <v>97</v>
      </c>
      <c r="C68" s="18">
        <v>1</v>
      </c>
    </row>
    <row r="69" spans="1:3">
      <c r="A69" s="13" t="s">
        <v>141</v>
      </c>
      <c r="B69" s="14" t="s">
        <v>105</v>
      </c>
      <c r="C69" s="15">
        <v>0.6</v>
      </c>
    </row>
    <row r="70" spans="1:3">
      <c r="A70" s="13" t="s">
        <v>140</v>
      </c>
      <c r="B70" s="14" t="s">
        <v>105</v>
      </c>
      <c r="C70" s="15">
        <v>0.6</v>
      </c>
    </row>
    <row r="71" spans="1:3">
      <c r="A71" s="13" t="s">
        <v>139</v>
      </c>
      <c r="B71" s="14" t="s">
        <v>99</v>
      </c>
      <c r="C71" s="15">
        <v>0.2</v>
      </c>
    </row>
    <row r="72" spans="1:3">
      <c r="A72" s="13" t="s">
        <v>138</v>
      </c>
      <c r="B72" s="14" t="s">
        <v>97</v>
      </c>
      <c r="C72" s="15">
        <v>1</v>
      </c>
    </row>
    <row r="73" spans="1:3">
      <c r="A73" s="13" t="s">
        <v>137</v>
      </c>
      <c r="B73" s="14" t="s">
        <v>99</v>
      </c>
      <c r="C73" s="15">
        <v>0.2</v>
      </c>
    </row>
    <row r="74" spans="1:3">
      <c r="A74" s="13" t="s">
        <v>136</v>
      </c>
      <c r="B74" s="14" t="s">
        <v>99</v>
      </c>
      <c r="C74" s="15">
        <v>0.2</v>
      </c>
    </row>
    <row r="75" spans="1:3">
      <c r="A75" s="13" t="s">
        <v>135</v>
      </c>
      <c r="B75" s="14" t="s">
        <v>97</v>
      </c>
      <c r="C75" s="15">
        <v>1</v>
      </c>
    </row>
    <row r="76" spans="1:3">
      <c r="A76" s="13" t="s">
        <v>134</v>
      </c>
      <c r="B76" s="14" t="s">
        <v>99</v>
      </c>
      <c r="C76" s="15">
        <v>0.2</v>
      </c>
    </row>
    <row r="77" spans="1:3">
      <c r="A77" s="13" t="s">
        <v>133</v>
      </c>
      <c r="B77" s="14" t="s">
        <v>97</v>
      </c>
      <c r="C77" s="18">
        <v>1</v>
      </c>
    </row>
    <row r="78" spans="1:3">
      <c r="A78" s="13" t="s">
        <v>132</v>
      </c>
      <c r="B78" s="14" t="s">
        <v>105</v>
      </c>
      <c r="C78" s="15">
        <v>0.6</v>
      </c>
    </row>
    <row r="79" spans="1:3">
      <c r="A79" s="13" t="s">
        <v>131</v>
      </c>
      <c r="B79" s="14" t="s">
        <v>99</v>
      </c>
      <c r="C79" s="15">
        <v>0.2</v>
      </c>
    </row>
    <row r="80" spans="1:3">
      <c r="A80" s="13" t="s">
        <v>130</v>
      </c>
      <c r="B80" s="14" t="s">
        <v>99</v>
      </c>
      <c r="C80" s="15">
        <v>0.2</v>
      </c>
    </row>
    <row r="81" spans="1:3">
      <c r="A81" s="13" t="s">
        <v>129</v>
      </c>
      <c r="B81" s="14" t="s">
        <v>97</v>
      </c>
      <c r="C81" s="15">
        <v>1</v>
      </c>
    </row>
    <row r="82" spans="1:3">
      <c r="A82" s="13" t="s">
        <v>128</v>
      </c>
      <c r="B82" s="14" t="s">
        <v>97</v>
      </c>
      <c r="C82" s="15">
        <v>1</v>
      </c>
    </row>
    <row r="83" spans="1:3">
      <c r="A83" s="13" t="s">
        <v>127</v>
      </c>
      <c r="B83" s="14" t="s">
        <v>97</v>
      </c>
      <c r="C83" s="18">
        <v>1</v>
      </c>
    </row>
    <row r="84" spans="1:3">
      <c r="A84" s="13" t="s">
        <v>126</v>
      </c>
      <c r="B84" s="14" t="s">
        <v>105</v>
      </c>
      <c r="C84" s="15">
        <v>0.6</v>
      </c>
    </row>
    <row r="85" spans="1:3">
      <c r="A85" s="13" t="s">
        <v>125</v>
      </c>
      <c r="B85" s="14" t="s">
        <v>99</v>
      </c>
      <c r="C85" s="15">
        <v>0.2</v>
      </c>
    </row>
    <row r="86" spans="1:3">
      <c r="A86" s="13" t="s">
        <v>124</v>
      </c>
      <c r="B86" s="14" t="s">
        <v>105</v>
      </c>
      <c r="C86" s="15">
        <v>0.6</v>
      </c>
    </row>
    <row r="87" spans="1:3">
      <c r="A87" s="13" t="s">
        <v>123</v>
      </c>
      <c r="B87" s="14" t="s">
        <v>99</v>
      </c>
      <c r="C87" s="15">
        <v>0.2</v>
      </c>
    </row>
    <row r="88" spans="1:3">
      <c r="A88" s="13" t="s">
        <v>122</v>
      </c>
      <c r="B88" s="14" t="s">
        <v>105</v>
      </c>
      <c r="C88" s="15">
        <v>0.6</v>
      </c>
    </row>
    <row r="89" spans="1:3">
      <c r="A89" s="13" t="s">
        <v>121</v>
      </c>
      <c r="B89" s="14" t="s">
        <v>97</v>
      </c>
      <c r="C89" s="17">
        <v>1</v>
      </c>
    </row>
    <row r="90" spans="1:3">
      <c r="A90" s="13" t="s">
        <v>120</v>
      </c>
      <c r="B90" s="14" t="s">
        <v>99</v>
      </c>
      <c r="C90" s="15">
        <v>0.2</v>
      </c>
    </row>
    <row r="91" spans="1:3">
      <c r="A91" s="13" t="s">
        <v>119</v>
      </c>
      <c r="B91" s="14" t="s">
        <v>99</v>
      </c>
      <c r="C91" s="15">
        <v>0.2</v>
      </c>
    </row>
    <row r="92" spans="1:3">
      <c r="A92" s="13" t="s">
        <v>118</v>
      </c>
      <c r="B92" s="14" t="s">
        <v>99</v>
      </c>
      <c r="C92" s="15">
        <v>0.2</v>
      </c>
    </row>
    <row r="93" spans="1:3">
      <c r="A93" s="13" t="s">
        <v>117</v>
      </c>
      <c r="B93" s="14" t="s">
        <v>99</v>
      </c>
      <c r="C93" s="15">
        <v>0.2</v>
      </c>
    </row>
    <row r="94" spans="1:3">
      <c r="A94" s="13" t="s">
        <v>116</v>
      </c>
      <c r="B94" s="14" t="s">
        <v>105</v>
      </c>
      <c r="C94" s="15">
        <v>0.6</v>
      </c>
    </row>
    <row r="95" spans="1:3">
      <c r="A95" s="13" t="s">
        <v>115</v>
      </c>
      <c r="B95" s="14" t="s">
        <v>105</v>
      </c>
      <c r="C95" s="15">
        <v>0.6</v>
      </c>
    </row>
    <row r="96" spans="1:3">
      <c r="A96" s="13" t="s">
        <v>114</v>
      </c>
      <c r="B96" s="14" t="s">
        <v>99</v>
      </c>
      <c r="C96" s="15">
        <v>0.2</v>
      </c>
    </row>
    <row r="97" spans="1:3">
      <c r="A97" s="13" t="s">
        <v>113</v>
      </c>
      <c r="B97" s="14" t="s">
        <v>97</v>
      </c>
      <c r="C97" s="15">
        <v>1</v>
      </c>
    </row>
    <row r="98" spans="1:3">
      <c r="A98" s="13" t="s">
        <v>112</v>
      </c>
      <c r="B98" s="14" t="s">
        <v>97</v>
      </c>
      <c r="C98" s="18">
        <v>1</v>
      </c>
    </row>
    <row r="99" spans="1:3">
      <c r="A99" s="13" t="s">
        <v>111</v>
      </c>
      <c r="B99" s="14" t="s">
        <v>105</v>
      </c>
      <c r="C99" s="15">
        <v>0.6</v>
      </c>
    </row>
    <row r="100" spans="1:3">
      <c r="A100" s="13" t="s">
        <v>110</v>
      </c>
      <c r="B100" s="14" t="s">
        <v>97</v>
      </c>
      <c r="C100" s="17">
        <v>1</v>
      </c>
    </row>
    <row r="101" spans="1:3">
      <c r="A101" s="13" t="s">
        <v>109</v>
      </c>
      <c r="B101" s="14" t="s">
        <v>99</v>
      </c>
      <c r="C101" s="15">
        <v>0.2</v>
      </c>
    </row>
    <row r="102" spans="1:3">
      <c r="A102" s="13" t="s">
        <v>108</v>
      </c>
      <c r="B102" s="14" t="s">
        <v>105</v>
      </c>
      <c r="C102" s="15">
        <v>0.6</v>
      </c>
    </row>
    <row r="103" spans="1:3">
      <c r="A103" s="13" t="s">
        <v>107</v>
      </c>
      <c r="B103" s="14" t="s">
        <v>99</v>
      </c>
      <c r="C103" s="15">
        <v>0.2</v>
      </c>
    </row>
    <row r="104" spans="1:3">
      <c r="A104" s="13" t="s">
        <v>106</v>
      </c>
      <c r="B104" s="14" t="s">
        <v>105</v>
      </c>
      <c r="C104" s="15">
        <v>0.6</v>
      </c>
    </row>
    <row r="105" spans="1:3">
      <c r="A105" s="13" t="s">
        <v>104</v>
      </c>
      <c r="B105" s="14" t="s">
        <v>99</v>
      </c>
      <c r="C105" s="15">
        <v>0.2</v>
      </c>
    </row>
    <row r="106" spans="1:3">
      <c r="A106" s="13" t="s">
        <v>103</v>
      </c>
      <c r="B106" s="14" t="s">
        <v>99</v>
      </c>
      <c r="C106" s="15">
        <v>0.2</v>
      </c>
    </row>
    <row r="107" spans="1:3">
      <c r="A107" s="13" t="s">
        <v>102</v>
      </c>
      <c r="B107" s="14" t="s">
        <v>97</v>
      </c>
      <c r="C107" s="15">
        <v>1</v>
      </c>
    </row>
    <row r="108" spans="1:3">
      <c r="A108" s="13" t="s">
        <v>77</v>
      </c>
      <c r="B108" s="14" t="s">
        <v>97</v>
      </c>
      <c r="C108" s="15">
        <v>1</v>
      </c>
    </row>
    <row r="109" spans="1:3">
      <c r="A109" s="13" t="s">
        <v>101</v>
      </c>
      <c r="B109" s="14" t="s">
        <v>99</v>
      </c>
      <c r="C109" s="15">
        <v>0.2</v>
      </c>
    </row>
    <row r="110" spans="1:3">
      <c r="A110" s="13" t="s">
        <v>100</v>
      </c>
      <c r="B110" s="14" t="s">
        <v>99</v>
      </c>
      <c r="C110" s="15">
        <v>0.2</v>
      </c>
    </row>
    <row r="111" spans="1:3">
      <c r="A111" s="13" t="s">
        <v>98</v>
      </c>
      <c r="B111" s="14" t="s">
        <v>97</v>
      </c>
      <c r="C111" s="15">
        <v>1</v>
      </c>
    </row>
  </sheetData>
  <autoFilter ref="A1:B111"/>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F13"/>
  <sheetViews>
    <sheetView showGridLines="0" zoomScale="85" zoomScaleNormal="85" workbookViewId="0">
      <selection activeCell="F4" sqref="F4"/>
    </sheetView>
  </sheetViews>
  <sheetFormatPr baseColWidth="10" defaultColWidth="11.42578125" defaultRowHeight="12.75"/>
  <cols>
    <col min="1" max="1" width="37.42578125" style="93" customWidth="1"/>
    <col min="2" max="2" width="87.85546875" style="93" customWidth="1"/>
    <col min="3" max="3" width="10.28515625" style="93" customWidth="1"/>
    <col min="4" max="4" width="11.7109375" style="100" customWidth="1"/>
    <col min="5" max="5" width="11.42578125" style="93" hidden="1" customWidth="1"/>
    <col min="6" max="6" width="30.7109375" style="100" customWidth="1"/>
    <col min="7" max="16384" width="11.42578125" style="93"/>
  </cols>
  <sheetData>
    <row r="1" spans="1:6" ht="24.75" customHeight="1">
      <c r="A1" s="807" t="s">
        <v>533</v>
      </c>
      <c r="B1" s="807"/>
      <c r="C1" s="807"/>
      <c r="D1" s="807"/>
    </row>
    <row r="2" spans="1:6" ht="7.5" customHeight="1" thickBot="1">
      <c r="A2" s="94"/>
      <c r="B2" s="94"/>
      <c r="C2" s="94"/>
      <c r="D2" s="95"/>
    </row>
    <row r="3" spans="1:6" s="96" customFormat="1" ht="41.25" customHeight="1">
      <c r="A3" s="272" t="s">
        <v>32</v>
      </c>
      <c r="B3" s="273" t="s">
        <v>30</v>
      </c>
      <c r="C3" s="394" t="s">
        <v>415</v>
      </c>
      <c r="D3" s="274" t="s">
        <v>6</v>
      </c>
      <c r="F3" s="654" t="s">
        <v>254</v>
      </c>
    </row>
    <row r="4" spans="1:6" ht="39.75">
      <c r="A4" s="97" t="s">
        <v>397</v>
      </c>
      <c r="B4" s="595" t="s">
        <v>515</v>
      </c>
      <c r="C4" s="393">
        <v>20</v>
      </c>
      <c r="D4" s="769"/>
      <c r="E4" s="341">
        <v>0</v>
      </c>
      <c r="F4" s="682"/>
    </row>
    <row r="5" spans="1:6" ht="80.25" customHeight="1">
      <c r="A5" s="97" t="s">
        <v>398</v>
      </c>
      <c r="B5" s="642" t="s">
        <v>577</v>
      </c>
      <c r="C5" s="393">
        <v>10</v>
      </c>
      <c r="D5" s="769"/>
      <c r="E5" s="341">
        <v>20</v>
      </c>
      <c r="F5" s="682"/>
    </row>
    <row r="6" spans="1:6" ht="30.2" customHeight="1">
      <c r="A6" s="97" t="s">
        <v>393</v>
      </c>
      <c r="B6" s="610" t="s">
        <v>523</v>
      </c>
      <c r="C6" s="632" t="s">
        <v>554</v>
      </c>
      <c r="D6" s="699"/>
      <c r="E6" s="341">
        <v>0</v>
      </c>
      <c r="F6" s="682"/>
    </row>
    <row r="7" spans="1:6" ht="24.95" customHeight="1" thickBot="1">
      <c r="A7" s="858" t="s">
        <v>33</v>
      </c>
      <c r="B7" s="859"/>
      <c r="C7" s="392"/>
      <c r="D7" s="98">
        <f>IF(SUM(D4:D6)&lt;=30,SUM(D4:D6),30)</f>
        <v>0</v>
      </c>
      <c r="E7" s="99">
        <v>10</v>
      </c>
      <c r="F7" s="655"/>
    </row>
    <row r="8" spans="1:6" ht="24.95" customHeight="1">
      <c r="A8" s="918"/>
      <c r="B8" s="918"/>
      <c r="C8" s="391"/>
    </row>
    <row r="9" spans="1:6" ht="84.75" customHeight="1">
      <c r="A9" s="919" t="s">
        <v>578</v>
      </c>
      <c r="B9" s="920"/>
      <c r="C9"/>
    </row>
    <row r="10" spans="1:6" ht="38.25" customHeight="1"/>
    <row r="11" spans="1:6" ht="24.95" customHeight="1"/>
    <row r="12" spans="1:6" s="99" customFormat="1" ht="32.25" customHeight="1">
      <c r="A12" s="93"/>
      <c r="B12" s="93"/>
      <c r="C12" s="93"/>
      <c r="D12" s="100"/>
      <c r="E12" s="93"/>
      <c r="F12" s="100"/>
    </row>
    <row r="13" spans="1:6" ht="14.25" customHeight="1"/>
  </sheetData>
  <sheetProtection algorithmName="SHA-512" hashValue="VtAUQ98FVDL1aI9YKowHdq7C5Kh5ZuVlS5bbNWC5vTM+8F8+xN2VA9ttkqMGKaE6g0otC5Wcu3LmdVCmwyMv9w==" saltValue="FEUbyRpaucX/IAvidNKzDw==" spinCount="100000" sheet="1" selectLockedCells="1"/>
  <mergeCells count="4">
    <mergeCell ref="A1:D1"/>
    <mergeCell ref="A7:B7"/>
    <mergeCell ref="A8:B8"/>
    <mergeCell ref="A9:B9"/>
  </mergeCells>
  <dataValidations count="3">
    <dataValidation type="list" allowBlank="1" showDropDown="1" showInputMessage="1" showErrorMessage="1" errorTitle="Falscher Wert!" error="Bitte geben Sie die Zahl 0 oder 1 ein." sqref="D6">
      <formula1>"0,10"</formula1>
    </dataValidation>
    <dataValidation type="list" allowBlank="1" showInputMessage="1" showErrorMessage="1" errorTitle="Falscher Wert!" error="Bitte geben Sie die Zahl 0 oder 1 ein." sqref="D4">
      <formula1>$E$4:$E$5</formula1>
    </dataValidation>
    <dataValidation type="list" allowBlank="1" showInputMessage="1" showErrorMessage="1" errorTitle="Falscher Wert!" error="Bitte geben Sie die Zahl 0 oder 1 ein." sqref="D5">
      <formula1>$E$6:$E$7</formula1>
    </dataValidation>
  </dataValidations>
  <printOptions horizontalCentered="1"/>
  <pageMargins left="0.59055118110236227" right="0.59055118110236227" top="0.59055118110236227" bottom="0.59055118110236227" header="0.31496062992125984" footer="0.31496062992125984"/>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76" zoomScaleNormal="90" workbookViewId="0">
      <selection activeCell="E8" sqref="E8"/>
    </sheetView>
  </sheetViews>
  <sheetFormatPr baseColWidth="10" defaultColWidth="11.5703125" defaultRowHeight="12.75"/>
  <cols>
    <col min="1" max="1" width="26" style="447" customWidth="1"/>
    <col min="2" max="2" width="69.42578125" style="447" customWidth="1"/>
    <col min="3" max="3" width="24.42578125" style="447" customWidth="1"/>
    <col min="4" max="4" width="15.5703125" style="447" customWidth="1"/>
    <col min="5" max="5" width="13" style="447" bestFit="1" customWidth="1"/>
    <col min="6" max="8" width="11.42578125" style="447" hidden="1" customWidth="1"/>
    <col min="9" max="9" width="40.85546875" style="641" customWidth="1"/>
    <col min="10" max="16384" width="11.5703125" style="447"/>
  </cols>
  <sheetData>
    <row r="1" spans="1:10" ht="26.45" customHeight="1">
      <c r="A1" s="922" t="s">
        <v>532</v>
      </c>
      <c r="B1" s="922"/>
      <c r="C1" s="922"/>
      <c r="D1" s="922"/>
      <c r="E1" s="922"/>
      <c r="F1" s="922"/>
      <c r="G1" s="922"/>
      <c r="H1" s="922"/>
      <c r="I1" s="922"/>
      <c r="J1" s="922"/>
    </row>
    <row r="2" spans="1:10" ht="13.5" thickBot="1"/>
    <row r="3" spans="1:10" ht="26.1" customHeight="1">
      <c r="A3" s="448" t="s">
        <v>297</v>
      </c>
      <c r="B3" s="449" t="s">
        <v>298</v>
      </c>
      <c r="C3" s="449" t="s">
        <v>299</v>
      </c>
      <c r="D3" s="450" t="s">
        <v>446</v>
      </c>
      <c r="E3" s="451" t="s">
        <v>34</v>
      </c>
      <c r="I3" s="648" t="s">
        <v>254</v>
      </c>
    </row>
    <row r="4" spans="1:10" ht="25.5">
      <c r="A4" s="923" t="s">
        <v>508</v>
      </c>
      <c r="B4" s="710" t="s">
        <v>557</v>
      </c>
      <c r="C4" s="452"/>
      <c r="D4" s="453">
        <v>6</v>
      </c>
      <c r="E4" s="924"/>
      <c r="F4" s="929">
        <v>0</v>
      </c>
      <c r="G4" s="928">
        <v>3</v>
      </c>
      <c r="H4" s="927">
        <v>6</v>
      </c>
      <c r="I4" s="681"/>
    </row>
    <row r="5" spans="1:10" ht="38.25">
      <c r="A5" s="923"/>
      <c r="B5" s="705" t="s">
        <v>558</v>
      </c>
      <c r="C5" s="452"/>
      <c r="D5" s="453">
        <v>3</v>
      </c>
      <c r="E5" s="925"/>
      <c r="F5" s="929"/>
      <c r="G5" s="928"/>
      <c r="H5" s="927"/>
      <c r="I5" s="681"/>
    </row>
    <row r="6" spans="1:10" ht="26.1" customHeight="1">
      <c r="A6" s="923"/>
      <c r="B6" s="452" t="s">
        <v>447</v>
      </c>
      <c r="C6" s="452"/>
      <c r="D6" s="453">
        <v>0</v>
      </c>
      <c r="E6" s="926"/>
      <c r="F6" s="929"/>
      <c r="G6" s="928"/>
      <c r="H6" s="927"/>
      <c r="I6" s="681"/>
    </row>
    <row r="7" spans="1:10" ht="26.1" customHeight="1">
      <c r="A7" s="923"/>
      <c r="B7" s="770" t="s">
        <v>448</v>
      </c>
      <c r="C7" s="770"/>
      <c r="D7" s="760" t="s">
        <v>449</v>
      </c>
      <c r="E7" s="454">
        <f>SUM(E4:E6)</f>
        <v>0</v>
      </c>
      <c r="I7" s="681"/>
    </row>
    <row r="8" spans="1:10" ht="26.1" customHeight="1">
      <c r="A8" s="923" t="s">
        <v>450</v>
      </c>
      <c r="B8" s="452" t="s">
        <v>451</v>
      </c>
      <c r="C8" s="455" t="s">
        <v>452</v>
      </c>
      <c r="D8" s="456">
        <v>3</v>
      </c>
      <c r="E8" s="457"/>
      <c r="F8" s="447">
        <v>0</v>
      </c>
      <c r="G8" s="447">
        <v>3</v>
      </c>
      <c r="I8" s="681"/>
    </row>
    <row r="9" spans="1:10" ht="26.1" customHeight="1">
      <c r="A9" s="923"/>
      <c r="B9" s="770" t="s">
        <v>453</v>
      </c>
      <c r="C9" s="770"/>
      <c r="D9" s="771" t="s">
        <v>454</v>
      </c>
      <c r="E9" s="454">
        <f>E8</f>
        <v>0</v>
      </c>
      <c r="I9" s="681"/>
    </row>
    <row r="10" spans="1:10" ht="26.1" customHeight="1">
      <c r="A10" s="923" t="s">
        <v>455</v>
      </c>
      <c r="B10" s="452" t="s">
        <v>456</v>
      </c>
      <c r="C10" s="452" t="s">
        <v>457</v>
      </c>
      <c r="D10" s="453">
        <v>2</v>
      </c>
      <c r="E10" s="457"/>
      <c r="F10" s="447">
        <v>0</v>
      </c>
      <c r="G10" s="447">
        <v>2</v>
      </c>
      <c r="I10" s="681"/>
    </row>
    <row r="11" spans="1:10" ht="26.1" customHeight="1">
      <c r="A11" s="923"/>
      <c r="B11" s="770" t="s">
        <v>458</v>
      </c>
      <c r="C11" s="770"/>
      <c r="D11" s="761" t="s">
        <v>459</v>
      </c>
      <c r="E11" s="454">
        <f>E10</f>
        <v>0</v>
      </c>
      <c r="I11" s="681"/>
    </row>
    <row r="12" spans="1:10" ht="26.1" customHeight="1">
      <c r="A12" s="923" t="s">
        <v>460</v>
      </c>
      <c r="B12" s="458" t="s">
        <v>461</v>
      </c>
      <c r="C12" s="452" t="s">
        <v>462</v>
      </c>
      <c r="D12" s="453">
        <v>2</v>
      </c>
      <c r="E12" s="457"/>
      <c r="F12" s="447">
        <v>0</v>
      </c>
      <c r="G12" s="447">
        <v>2</v>
      </c>
      <c r="I12" s="681"/>
    </row>
    <row r="13" spans="1:10" ht="26.1" customHeight="1">
      <c r="A13" s="923"/>
      <c r="B13" s="458" t="s">
        <v>463</v>
      </c>
      <c r="C13" s="452" t="s">
        <v>457</v>
      </c>
      <c r="D13" s="453">
        <v>2</v>
      </c>
      <c r="E13" s="457"/>
      <c r="F13" s="447">
        <v>0</v>
      </c>
      <c r="G13" s="447">
        <v>2</v>
      </c>
      <c r="I13" s="681"/>
    </row>
    <row r="14" spans="1:10" ht="26.1" customHeight="1">
      <c r="A14" s="923"/>
      <c r="B14" s="770" t="s">
        <v>464</v>
      </c>
      <c r="C14" s="770"/>
      <c r="D14" s="761" t="s">
        <v>465</v>
      </c>
      <c r="E14" s="454">
        <f>SUM(E12:E13)</f>
        <v>0</v>
      </c>
      <c r="I14" s="681"/>
    </row>
    <row r="15" spans="1:10" ht="26.1" customHeight="1" thickBot="1">
      <c r="A15" s="459" t="s">
        <v>33</v>
      </c>
      <c r="B15" s="460"/>
      <c r="C15" s="461"/>
      <c r="D15" s="460"/>
      <c r="E15" s="462">
        <f>IF(SUM(E7,E9,E11,E14)&lt;15,SUM(E7,E9,E11,E14),15)</f>
        <v>0</v>
      </c>
      <c r="I15" s="921"/>
    </row>
    <row r="16" spans="1:10">
      <c r="A16" s="463"/>
      <c r="I16" s="921"/>
    </row>
    <row r="17" spans="9:9">
      <c r="I17" s="101"/>
    </row>
    <row r="18" spans="9:9">
      <c r="I18" s="101"/>
    </row>
    <row r="19" spans="9:9">
      <c r="I19" s="101"/>
    </row>
    <row r="20" spans="9:9">
      <c r="I20" s="101"/>
    </row>
    <row r="21" spans="9:9">
      <c r="I21" s="101"/>
    </row>
    <row r="22" spans="9:9">
      <c r="I22" s="101"/>
    </row>
    <row r="23" spans="9:9">
      <c r="I23" s="101"/>
    </row>
    <row r="24" spans="9:9">
      <c r="I24" s="101"/>
    </row>
    <row r="25" spans="9:9">
      <c r="I25" s="101"/>
    </row>
    <row r="26" spans="9:9">
      <c r="I26" s="101"/>
    </row>
    <row r="27" spans="9:9" ht="15">
      <c r="I27" s="649"/>
    </row>
  </sheetData>
  <sheetProtection algorithmName="SHA-512" hashValue="OnaClWQJ2VIVHdKoOJAE+B46/JBD65YXHK1oqCEk5cqsLke1l2MUuiBBDs/KPjGYhxCjfFjfsNLkfrYLvnjlUQ==" saltValue="GFcvYSoWwPAdAxjygBA1SA==" spinCount="100000" sheet="1" selectLockedCells="1"/>
  <mergeCells count="10">
    <mergeCell ref="I15:I16"/>
    <mergeCell ref="A1:J1"/>
    <mergeCell ref="A10:A11"/>
    <mergeCell ref="A12:A14"/>
    <mergeCell ref="A4:A7"/>
    <mergeCell ref="A8:A9"/>
    <mergeCell ref="E4:E6"/>
    <mergeCell ref="H4:H6"/>
    <mergeCell ref="G4:G6"/>
    <mergeCell ref="F4:F6"/>
  </mergeCells>
  <dataValidations count="5">
    <dataValidation type="list" allowBlank="1" showInputMessage="1" showErrorMessage="1" sqref="E4:E6">
      <formula1>$F$4:$H$4</formula1>
    </dataValidation>
    <dataValidation type="list" allowBlank="1" showInputMessage="1" showErrorMessage="1" sqref="E13">
      <formula1>$F$13:$G$13</formula1>
    </dataValidation>
    <dataValidation type="list" allowBlank="1" showInputMessage="1" showErrorMessage="1" sqref="E12">
      <formula1>$F$12:$G$12</formula1>
    </dataValidation>
    <dataValidation type="list" allowBlank="1" showInputMessage="1" showErrorMessage="1" sqref="E10">
      <formula1>$F$10:$G$10</formula1>
    </dataValidation>
    <dataValidation type="list" allowBlank="1" showInputMessage="1" showErrorMessage="1" sqref="E8">
      <formula1>$F$8:$G$8</formula1>
    </dataValidation>
  </dataValidations>
  <pageMargins left="0.7" right="0.7" top="0.78740157499999996" bottom="0.78740157499999996"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22D5A955D597D478B3F535215E7E5D6" ma:contentTypeVersion="15" ma:contentTypeDescription="Ein neues Dokument erstellen." ma:contentTypeScope="" ma:versionID="0d9912d526b2578a11fab8d0df0cf34c">
  <xsd:schema xmlns:xsd="http://www.w3.org/2001/XMLSchema" xmlns:xs="http://www.w3.org/2001/XMLSchema" xmlns:p="http://schemas.microsoft.com/office/2006/metadata/properties" xmlns:ns2="a6081b03-2a40-4a72-92f3-e27db004df69" xmlns:ns3="cf30bd56-e01e-4391-9850-ada34396b374" targetNamespace="http://schemas.microsoft.com/office/2006/metadata/properties" ma:root="true" ma:fieldsID="f13a24090bbaa798579c5b163c9250ae" ns2:_="" ns3:_="">
    <xsd:import namespace="a6081b03-2a40-4a72-92f3-e27db004df69"/>
    <xsd:import namespace="cf30bd56-e01e-4391-9850-ada34396b37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81b03-2a40-4a72-92f3-e27db004df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231abc8-4556-4484-b6ee-5cd59887ff8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30bd56-e01e-4391-9850-ada34396b37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98b530e-a13c-45a9-be77-cd84a30631c3}" ma:internalName="TaxCatchAll" ma:showField="CatchAllData" ma:web="cf30bd56-e01e-4391-9850-ada34396b37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f30bd56-e01e-4391-9850-ada34396b374" xsi:nil="true"/>
    <lcf76f155ced4ddcb4097134ff3c332f xmlns="a6081b03-2a40-4a72-92f3-e27db004df6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44A561-F5E7-45D1-95D4-3C43DC772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81b03-2a40-4a72-92f3-e27db004df69"/>
    <ds:schemaRef ds:uri="cf30bd56-e01e-4391-9850-ada34396b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643B0-161D-4C16-8014-7E4081419B98}">
  <ds:schemaRefs>
    <ds:schemaRef ds:uri="http://schemas.microsoft.com/sharepoint/v3/contenttype/forms"/>
  </ds:schemaRefs>
</ds:datastoreItem>
</file>

<file path=customXml/itemProps3.xml><?xml version="1.0" encoding="utf-8"?>
<ds:datastoreItem xmlns:ds="http://schemas.openxmlformats.org/officeDocument/2006/customXml" ds:itemID="{C58DF655-FDCB-4A4F-8295-9643DC22A00F}">
  <ds:schemaRefs>
    <ds:schemaRef ds:uri="http://schemas.microsoft.com/office/infopath/2007/PartnerControls"/>
    <ds:schemaRef ds:uri="http://purl.org/dc/elements/1.1/"/>
    <ds:schemaRef ds:uri="http://schemas.microsoft.com/office/2006/metadata/properties"/>
    <ds:schemaRef ds:uri="a6081b03-2a40-4a72-92f3-e27db004df69"/>
    <ds:schemaRef ds:uri="http://purl.org/dc/terms/"/>
    <ds:schemaRef ds:uri="http://schemas.openxmlformats.org/package/2006/metadata/core-properties"/>
    <ds:schemaRef ds:uri="http://schemas.microsoft.com/office/2006/documentManagement/types"/>
    <ds:schemaRef ds:uri="cf30bd56-e01e-4391-9850-ada34396b37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Deckblatt</vt:lpstr>
      <vt:lpstr>Punktevergabe</vt:lpstr>
      <vt:lpstr>A 1.3</vt:lpstr>
      <vt:lpstr>A 1.4</vt:lpstr>
      <vt:lpstr>A 1.5</vt:lpstr>
      <vt:lpstr>Objektabelle</vt:lpstr>
      <vt:lpstr>Gemeindetabelle</vt:lpstr>
      <vt:lpstr>A 1.6</vt:lpstr>
      <vt:lpstr>A 1.7</vt:lpstr>
      <vt:lpstr>A 1.8</vt:lpstr>
      <vt:lpstr>B1 </vt:lpstr>
      <vt:lpstr>B1 Graphik</vt:lpstr>
      <vt:lpstr>B1b </vt:lpstr>
      <vt:lpstr>B1b Graphik</vt:lpstr>
      <vt:lpstr>B 1.5</vt:lpstr>
      <vt:lpstr>C 1.1</vt:lpstr>
      <vt:lpstr>C 1.2</vt:lpstr>
      <vt:lpstr>C 2.1</vt:lpstr>
      <vt:lpstr>D 1.1</vt:lpstr>
      <vt:lpstr>D 1.2</vt:lpstr>
      <vt:lpstr>D 1.3</vt:lpstr>
      <vt:lpstr>D 2.1</vt:lpstr>
      <vt:lpstr>D 2.2</vt:lpstr>
    </vt:vector>
  </TitlesOfParts>
  <Company>IBO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Rechenknecht</dc:creator>
  <cp:lastModifiedBy>Simon Nussbaumer</cp:lastModifiedBy>
  <cp:lastPrinted>2024-01-16T16:21:02Z</cp:lastPrinted>
  <dcterms:created xsi:type="dcterms:W3CDTF">2005-07-27T13:49:14Z</dcterms:created>
  <dcterms:modified xsi:type="dcterms:W3CDTF">2025-02-06T12:39:10Z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0x010100622D5A955D597D478B3F535215E7E5D6</vt:lpwstr>
  </property>
  <property fmtid="{D5CDD505-2E9C-101B-9397-08002B2CF9AE}" pid="3" name="MediaServiceImageTags">
    <vt:lpwstr/>
  </property>
</Properties>
</file>